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iam\Desktop\"/>
    </mc:Choice>
  </mc:AlternateContent>
  <xr:revisionPtr revIDLastSave="0" documentId="13_ncr:1_{8143F645-784E-4571-A659-681D7F21453F}" xr6:coauthVersionLast="46" xr6:coauthVersionMax="46" xr10:uidLastSave="{00000000-0000-0000-0000-000000000000}"/>
  <workbookProtection workbookAlgorithmName="SHA-512" workbookHashValue="Svx8l2oT1XixAusNsZNT4kEm27WJFbnjsGx2r7ZtCLQRBAmlMAFL/NIX6R7K4Bdz30smB/dNNtq4oofem0Mn4Q==" workbookSaltValue="Bircx65pn2vB9f7IXEFA0g==" workbookSpinCount="100000" lockStructure="1"/>
  <bookViews>
    <workbookView xWindow="-28908" yWindow="-108" windowWidth="29016" windowHeight="15816" tabRatio="247" activeTab="1" xr2:uid="{00000000-000D-0000-FFFF-FFFF00000000}"/>
  </bookViews>
  <sheets>
    <sheet name="Données" sheetId="3" r:id="rId1"/>
    <sheet name="Provision" sheetId="2" r:id="rId2"/>
    <sheet name="Table" sheetId="1" r:id="rId3"/>
  </sheets>
  <definedNames>
    <definedName name="_xlnm._FilterDatabase" localSheetId="1" hidden="1">Provision!$A$1:$AI$55</definedName>
    <definedName name="_xlnm.Print_Area" localSheetId="0">Données!$A$1:$I$27</definedName>
    <definedName name="_xlnm.Print_Area" localSheetId="1">Provision!$A$1:$V$55</definedName>
    <definedName name="_xlnm.Print_Area" localSheetId="2">Table!$A$1:$M$114</definedName>
  </definedNames>
  <calcPr calcId="191029"/>
</workbook>
</file>

<file path=xl/calcChain.xml><?xml version="1.0" encoding="utf-8"?>
<calcChain xmlns="http://schemas.openxmlformats.org/spreadsheetml/2006/main">
  <c r="L62" i="1" l="1"/>
  <c r="L63" i="1"/>
  <c r="K73" i="1"/>
  <c r="L73" i="1"/>
  <c r="M73" i="1"/>
  <c r="F38" i="2" l="1"/>
  <c r="F35" i="2"/>
  <c r="F32" i="2"/>
  <c r="F25" i="2"/>
  <c r="F24" i="2"/>
  <c r="U24" i="2" s="1"/>
  <c r="G20" i="2"/>
  <c r="U20" i="2" s="1"/>
  <c r="G11" i="2"/>
  <c r="H34" i="2"/>
  <c r="J34" i="2" s="1"/>
  <c r="L34" i="2" s="1"/>
  <c r="I34" i="2"/>
  <c r="K34" i="2"/>
  <c r="U34" i="2"/>
  <c r="X34" i="2"/>
  <c r="Y34" i="2"/>
  <c r="Z34" i="2"/>
  <c r="AH34" i="2"/>
  <c r="H35" i="2"/>
  <c r="AA35" i="2" s="1"/>
  <c r="I35" i="2"/>
  <c r="J35" i="2"/>
  <c r="L35" i="2"/>
  <c r="K35" i="2"/>
  <c r="S35" i="2" s="1"/>
  <c r="U35" i="2"/>
  <c r="X35" i="2"/>
  <c r="Y35" i="2"/>
  <c r="Z35" i="2"/>
  <c r="K40" i="1"/>
  <c r="K57" i="1"/>
  <c r="AB37" i="2" s="1"/>
  <c r="O37" i="2" s="1"/>
  <c r="K65" i="1"/>
  <c r="K66" i="1"/>
  <c r="K8" i="1"/>
  <c r="L8" i="1"/>
  <c r="M8" i="1"/>
  <c r="K9" i="1"/>
  <c r="L9" i="1"/>
  <c r="M9" i="1"/>
  <c r="K10" i="1"/>
  <c r="L10" i="1"/>
  <c r="M10" i="1"/>
  <c r="K11" i="1"/>
  <c r="L11" i="1"/>
  <c r="M11" i="1"/>
  <c r="K12" i="1"/>
  <c r="L12" i="1"/>
  <c r="M12" i="1"/>
  <c r="K13" i="1"/>
  <c r="L13" i="1"/>
  <c r="M13" i="1"/>
  <c r="K14" i="1"/>
  <c r="L14" i="1"/>
  <c r="M14" i="1"/>
  <c r="K15" i="1"/>
  <c r="L15" i="1"/>
  <c r="M15" i="1"/>
  <c r="K16" i="1"/>
  <c r="L16" i="1"/>
  <c r="M16" i="1"/>
  <c r="K17" i="1"/>
  <c r="L17" i="1"/>
  <c r="M17" i="1"/>
  <c r="K18" i="1"/>
  <c r="L18" i="1"/>
  <c r="M18" i="1"/>
  <c r="K19" i="1"/>
  <c r="L19" i="1"/>
  <c r="M19" i="1"/>
  <c r="K20" i="1"/>
  <c r="L20" i="1"/>
  <c r="M20" i="1"/>
  <c r="K21" i="1"/>
  <c r="L21" i="1"/>
  <c r="M21" i="1"/>
  <c r="K22" i="1"/>
  <c r="L22" i="1"/>
  <c r="M22" i="1"/>
  <c r="K23" i="1"/>
  <c r="AC45" i="2" s="1"/>
  <c r="L23" i="1"/>
  <c r="M23" i="1"/>
  <c r="K24" i="1"/>
  <c r="L24" i="1"/>
  <c r="M24" i="1"/>
  <c r="K25" i="1"/>
  <c r="L25" i="1"/>
  <c r="M25" i="1"/>
  <c r="K26" i="1"/>
  <c r="L26" i="1"/>
  <c r="M26" i="1"/>
  <c r="K27" i="1"/>
  <c r="L27" i="1"/>
  <c r="M27" i="1"/>
  <c r="K28" i="1"/>
  <c r="L28" i="1"/>
  <c r="M28" i="1"/>
  <c r="K29" i="1"/>
  <c r="L29" i="1"/>
  <c r="M29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L40" i="1"/>
  <c r="M40" i="1"/>
  <c r="K41" i="1"/>
  <c r="L41" i="1"/>
  <c r="M41" i="1"/>
  <c r="K42" i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K53" i="1"/>
  <c r="L53" i="1"/>
  <c r="M53" i="1"/>
  <c r="K54" i="1"/>
  <c r="L54" i="1"/>
  <c r="M54" i="1"/>
  <c r="K55" i="1"/>
  <c r="L55" i="1"/>
  <c r="M55" i="1"/>
  <c r="K56" i="1"/>
  <c r="L56" i="1"/>
  <c r="M56" i="1"/>
  <c r="L57" i="1"/>
  <c r="M57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M62" i="1"/>
  <c r="K63" i="1"/>
  <c r="M63" i="1"/>
  <c r="K64" i="1"/>
  <c r="L64" i="1"/>
  <c r="M64" i="1"/>
  <c r="L65" i="1"/>
  <c r="M65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AH35" i="2"/>
  <c r="H36" i="2"/>
  <c r="J36" i="2" s="1"/>
  <c r="I36" i="2"/>
  <c r="K36" i="2"/>
  <c r="U36" i="2"/>
  <c r="X36" i="2"/>
  <c r="Y36" i="2"/>
  <c r="Z36" i="2"/>
  <c r="AH36" i="2"/>
  <c r="H37" i="2"/>
  <c r="J37" i="2" s="1"/>
  <c r="L37" i="2" s="1"/>
  <c r="I37" i="2"/>
  <c r="K37" i="2"/>
  <c r="U37" i="2"/>
  <c r="X37" i="2"/>
  <c r="Y37" i="2"/>
  <c r="Z37" i="2"/>
  <c r="AH37" i="2"/>
  <c r="H38" i="2"/>
  <c r="I38" i="2"/>
  <c r="J38" i="2"/>
  <c r="L38" i="2" s="1"/>
  <c r="K38" i="2"/>
  <c r="S38" i="2" s="1"/>
  <c r="U38" i="2"/>
  <c r="X38" i="2"/>
  <c r="Y38" i="2"/>
  <c r="Z38" i="2"/>
  <c r="AH38" i="2"/>
  <c r="H39" i="2"/>
  <c r="AA39" i="2" s="1"/>
  <c r="I39" i="2"/>
  <c r="J39" i="2"/>
  <c r="L39" i="2"/>
  <c r="K39" i="2"/>
  <c r="U39" i="2"/>
  <c r="X39" i="2"/>
  <c r="Y39" i="2"/>
  <c r="Z39" i="2"/>
  <c r="AB39" i="2"/>
  <c r="AH39" i="2"/>
  <c r="H40" i="2"/>
  <c r="J40" i="2" s="1"/>
  <c r="L40" i="2" s="1"/>
  <c r="I40" i="2"/>
  <c r="K40" i="2"/>
  <c r="U40" i="2"/>
  <c r="X40" i="2"/>
  <c r="Y40" i="2"/>
  <c r="Z40" i="2"/>
  <c r="AH40" i="2"/>
  <c r="H41" i="2"/>
  <c r="I41" i="2"/>
  <c r="J41" i="2"/>
  <c r="L41" i="2"/>
  <c r="K41" i="2"/>
  <c r="U41" i="2"/>
  <c r="X41" i="2"/>
  <c r="Y41" i="2"/>
  <c r="Z41" i="2"/>
  <c r="AH41" i="2"/>
  <c r="H42" i="2"/>
  <c r="I42" i="2"/>
  <c r="K42" i="2"/>
  <c r="U42" i="2"/>
  <c r="X42" i="2"/>
  <c r="Y42" i="2"/>
  <c r="Z42" i="2"/>
  <c r="AH42" i="2"/>
  <c r="H43" i="2"/>
  <c r="AA43" i="2" s="1"/>
  <c r="I43" i="2"/>
  <c r="K43" i="2"/>
  <c r="S43" i="2" s="1"/>
  <c r="U43" i="2"/>
  <c r="X43" i="2"/>
  <c r="Y43" i="2"/>
  <c r="Z43" i="2"/>
  <c r="AH43" i="2"/>
  <c r="H44" i="2"/>
  <c r="AA44" i="2" s="1"/>
  <c r="I44" i="2"/>
  <c r="K44" i="2"/>
  <c r="U44" i="2"/>
  <c r="X44" i="2"/>
  <c r="Y44" i="2"/>
  <c r="Z44" i="2"/>
  <c r="AH44" i="2"/>
  <c r="H45" i="2"/>
  <c r="I45" i="2"/>
  <c r="J45" i="2"/>
  <c r="L45" i="2"/>
  <c r="K45" i="2"/>
  <c r="O45" i="2"/>
  <c r="U45" i="2"/>
  <c r="X45" i="2"/>
  <c r="Y45" i="2"/>
  <c r="Z45" i="2"/>
  <c r="AD45" i="2"/>
  <c r="AH45" i="2"/>
  <c r="H46" i="2"/>
  <c r="J46" i="2" s="1"/>
  <c r="L46" i="2" s="1"/>
  <c r="I46" i="2"/>
  <c r="K46" i="2"/>
  <c r="S46" i="2" s="1"/>
  <c r="O46" i="2"/>
  <c r="U46" i="2"/>
  <c r="AD46" i="2" s="1"/>
  <c r="X46" i="2"/>
  <c r="Y46" i="2"/>
  <c r="Z46" i="2"/>
  <c r="AH46" i="2"/>
  <c r="L36" i="2"/>
  <c r="J44" i="2"/>
  <c r="L44" i="2" s="1"/>
  <c r="J43" i="2"/>
  <c r="L43" i="2"/>
  <c r="R43" i="2" s="1"/>
  <c r="P43" i="2"/>
  <c r="AI37" i="2"/>
  <c r="S37" i="2"/>
  <c r="Q36" i="2"/>
  <c r="P36" i="2"/>
  <c r="AG41" i="2"/>
  <c r="AI41" i="2"/>
  <c r="AG35" i="2"/>
  <c r="M35" i="2"/>
  <c r="M46" i="2"/>
  <c r="Q46" i="2"/>
  <c r="Q38" i="2"/>
  <c r="P45" i="2"/>
  <c r="Q34" i="2"/>
  <c r="N34" i="2"/>
  <c r="AA46" i="2"/>
  <c r="AA38" i="2"/>
  <c r="AA34" i="2"/>
  <c r="AC34" i="2" s="1"/>
  <c r="O34" i="2" s="1"/>
  <c r="AA45" i="2"/>
  <c r="AA41" i="2"/>
  <c r="AB41" i="2" s="1"/>
  <c r="AA37" i="2"/>
  <c r="H47" i="2"/>
  <c r="AA47" i="2" s="1"/>
  <c r="AB47" i="2" s="1"/>
  <c r="I47" i="2"/>
  <c r="K47" i="2"/>
  <c r="U47" i="2"/>
  <c r="X47" i="2"/>
  <c r="Y47" i="2"/>
  <c r="Z47" i="2"/>
  <c r="AH47" i="2"/>
  <c r="M43" i="2"/>
  <c r="AI43" i="2"/>
  <c r="AG44" i="2"/>
  <c r="Q43" i="2"/>
  <c r="N43" i="2"/>
  <c r="AC41" i="2"/>
  <c r="O41" i="2" s="1"/>
  <c r="AD36" i="2"/>
  <c r="J47" i="2"/>
  <c r="L47" i="2"/>
  <c r="M47" i="2" s="1"/>
  <c r="AH48" i="2"/>
  <c r="Z48" i="2"/>
  <c r="Y48" i="2"/>
  <c r="X48" i="2"/>
  <c r="U48" i="2"/>
  <c r="K48" i="2"/>
  <c r="S48" i="2" s="1"/>
  <c r="I48" i="2"/>
  <c r="J48" i="2" s="1"/>
  <c r="L48" i="2" s="1"/>
  <c r="H48" i="2"/>
  <c r="AA48" i="2" s="1"/>
  <c r="AC48" i="2" s="1"/>
  <c r="AH33" i="2"/>
  <c r="Z33" i="2"/>
  <c r="Y33" i="2"/>
  <c r="X33" i="2"/>
  <c r="K33" i="2"/>
  <c r="I33" i="2"/>
  <c r="J33" i="2" s="1"/>
  <c r="H33" i="2"/>
  <c r="AA33" i="2" s="1"/>
  <c r="U33" i="2"/>
  <c r="AH32" i="2"/>
  <c r="Z32" i="2"/>
  <c r="Y32" i="2"/>
  <c r="X32" i="2"/>
  <c r="K32" i="2"/>
  <c r="I32" i="2"/>
  <c r="H32" i="2"/>
  <c r="U32" i="2"/>
  <c r="AH31" i="2"/>
  <c r="Z31" i="2"/>
  <c r="Y31" i="2"/>
  <c r="X31" i="2"/>
  <c r="K31" i="2"/>
  <c r="I31" i="2"/>
  <c r="H31" i="2"/>
  <c r="AA31" i="2"/>
  <c r="U31" i="2"/>
  <c r="AH30" i="2"/>
  <c r="Z30" i="2"/>
  <c r="Y30" i="2"/>
  <c r="X30" i="2"/>
  <c r="K30" i="2"/>
  <c r="I30" i="2"/>
  <c r="H30" i="2"/>
  <c r="U30" i="2"/>
  <c r="AH29" i="2"/>
  <c r="Z29" i="2"/>
  <c r="Y29" i="2"/>
  <c r="X29" i="2"/>
  <c r="K29" i="2"/>
  <c r="I29" i="2"/>
  <c r="H29" i="2"/>
  <c r="AA29" i="2" s="1"/>
  <c r="U29" i="2"/>
  <c r="AH28" i="2"/>
  <c r="Z28" i="2"/>
  <c r="Y28" i="2"/>
  <c r="X28" i="2"/>
  <c r="K28" i="2"/>
  <c r="I28" i="2"/>
  <c r="H28" i="2"/>
  <c r="U28" i="2"/>
  <c r="AH27" i="2"/>
  <c r="Z27" i="2"/>
  <c r="Y27" i="2"/>
  <c r="X27" i="2"/>
  <c r="K27" i="2"/>
  <c r="I27" i="2"/>
  <c r="H27" i="2"/>
  <c r="AA27" i="2"/>
  <c r="U27" i="2"/>
  <c r="AH26" i="2"/>
  <c r="Z26" i="2"/>
  <c r="Y26" i="2"/>
  <c r="X26" i="2"/>
  <c r="K26" i="2"/>
  <c r="I26" i="2"/>
  <c r="H26" i="2"/>
  <c r="U26" i="2"/>
  <c r="AH25" i="2"/>
  <c r="Z25" i="2"/>
  <c r="Y25" i="2"/>
  <c r="X25" i="2"/>
  <c r="K25" i="2"/>
  <c r="I25" i="2"/>
  <c r="H25" i="2"/>
  <c r="AA25" i="2" s="1"/>
  <c r="U25" i="2"/>
  <c r="AH24" i="2"/>
  <c r="Z24" i="2"/>
  <c r="Y24" i="2"/>
  <c r="X24" i="2"/>
  <c r="K24" i="2"/>
  <c r="I24" i="2"/>
  <c r="H24" i="2"/>
  <c r="AH23" i="2"/>
  <c r="Z23" i="2"/>
  <c r="Y23" i="2"/>
  <c r="X23" i="2"/>
  <c r="K23" i="2"/>
  <c r="I23" i="2"/>
  <c r="H23" i="2"/>
  <c r="AA23" i="2"/>
  <c r="U23" i="2"/>
  <c r="AH22" i="2"/>
  <c r="Z22" i="2"/>
  <c r="Y22" i="2"/>
  <c r="X22" i="2"/>
  <c r="K22" i="2"/>
  <c r="I22" i="2"/>
  <c r="H22" i="2"/>
  <c r="U22" i="2"/>
  <c r="AH21" i="2"/>
  <c r="Z21" i="2"/>
  <c r="Y21" i="2"/>
  <c r="X21" i="2"/>
  <c r="K21" i="2"/>
  <c r="I21" i="2"/>
  <c r="H21" i="2"/>
  <c r="U21" i="2"/>
  <c r="AH20" i="2"/>
  <c r="Z20" i="2"/>
  <c r="Y20" i="2"/>
  <c r="X20" i="2"/>
  <c r="K20" i="2"/>
  <c r="I20" i="2"/>
  <c r="H20" i="2"/>
  <c r="J20" i="2" s="1"/>
  <c r="L20" i="2" s="1"/>
  <c r="AH19" i="2"/>
  <c r="Z19" i="2"/>
  <c r="Y19" i="2"/>
  <c r="X19" i="2"/>
  <c r="K19" i="2"/>
  <c r="I19" i="2"/>
  <c r="H19" i="2"/>
  <c r="U19" i="2"/>
  <c r="AH18" i="2"/>
  <c r="Z18" i="2"/>
  <c r="Y18" i="2"/>
  <c r="X18" i="2"/>
  <c r="K18" i="2"/>
  <c r="S18" i="2" s="1"/>
  <c r="I18" i="2"/>
  <c r="H18" i="2"/>
  <c r="AA18" i="2" s="1"/>
  <c r="U18" i="2"/>
  <c r="AH17" i="2"/>
  <c r="Z17" i="2"/>
  <c r="Y17" i="2"/>
  <c r="X17" i="2"/>
  <c r="K17" i="2"/>
  <c r="I17" i="2"/>
  <c r="H17" i="2"/>
  <c r="U17" i="2"/>
  <c r="AH16" i="2"/>
  <c r="Z16" i="2"/>
  <c r="Y16" i="2"/>
  <c r="X16" i="2"/>
  <c r="K16" i="2"/>
  <c r="I16" i="2"/>
  <c r="H16" i="2"/>
  <c r="U16" i="2"/>
  <c r="AH15" i="2"/>
  <c r="Z15" i="2"/>
  <c r="Y15" i="2"/>
  <c r="X15" i="2"/>
  <c r="K15" i="2"/>
  <c r="I15" i="2"/>
  <c r="J15" i="2" s="1"/>
  <c r="L15" i="2" s="1"/>
  <c r="H15" i="2"/>
  <c r="AA15" i="2" s="1"/>
  <c r="U15" i="2"/>
  <c r="AH14" i="2"/>
  <c r="Z14" i="2"/>
  <c r="Y14" i="2"/>
  <c r="X14" i="2"/>
  <c r="X49" i="2" s="1"/>
  <c r="D49" i="2" s="1"/>
  <c r="K14" i="2"/>
  <c r="I14" i="2"/>
  <c r="H14" i="2"/>
  <c r="U14" i="2"/>
  <c r="AH13" i="2"/>
  <c r="Z13" i="2"/>
  <c r="Y13" i="2"/>
  <c r="X13" i="2"/>
  <c r="K13" i="2"/>
  <c r="I13" i="2"/>
  <c r="H13" i="2"/>
  <c r="U13" i="2"/>
  <c r="AH12" i="2"/>
  <c r="Z12" i="2"/>
  <c r="Y12" i="2"/>
  <c r="X12" i="2"/>
  <c r="K12" i="2"/>
  <c r="I12" i="2"/>
  <c r="H12" i="2"/>
  <c r="U12" i="2"/>
  <c r="AH11" i="2"/>
  <c r="Z11" i="2"/>
  <c r="Y11" i="2"/>
  <c r="Y49" i="2" s="1"/>
  <c r="E49" i="2" s="1"/>
  <c r="X11" i="2"/>
  <c r="K11" i="2"/>
  <c r="I11" i="2"/>
  <c r="H11" i="2"/>
  <c r="U11" i="2"/>
  <c r="AC47" i="2"/>
  <c r="O47" i="2"/>
  <c r="AB48" i="2"/>
  <c r="J18" i="2"/>
  <c r="L18" i="2" s="1"/>
  <c r="AI18" i="2" s="1"/>
  <c r="L33" i="2"/>
  <c r="J23" i="2"/>
  <c r="L23" i="2" s="1"/>
  <c r="N23" i="2"/>
  <c r="J12" i="2"/>
  <c r="L12" i="2" s="1"/>
  <c r="N12" i="2" s="1"/>
  <c r="AA16" i="2"/>
  <c r="AC16" i="2" s="1"/>
  <c r="O16" i="2" s="1"/>
  <c r="AA20" i="2"/>
  <c r="J25" i="2"/>
  <c r="L25" i="2" s="1"/>
  <c r="J27" i="2"/>
  <c r="L27" i="2"/>
  <c r="J31" i="2"/>
  <c r="L31" i="2" s="1"/>
  <c r="AA12" i="2"/>
  <c r="J29" i="2"/>
  <c r="L29" i="2" s="1"/>
  <c r="S29" i="2" s="1"/>
  <c r="N29" i="2"/>
  <c r="AA13" i="2"/>
  <c r="J13" i="2"/>
  <c r="L13" i="2" s="1"/>
  <c r="AA24" i="2"/>
  <c r="J24" i="2"/>
  <c r="L24" i="2" s="1"/>
  <c r="S24" i="2" s="1"/>
  <c r="AA28" i="2"/>
  <c r="J28" i="2"/>
  <c r="L28" i="2" s="1"/>
  <c r="N28" i="2" s="1"/>
  <c r="AA32" i="2"/>
  <c r="J32" i="2"/>
  <c r="L32" i="2" s="1"/>
  <c r="S32" i="2"/>
  <c r="AA17" i="2"/>
  <c r="AA11" i="2"/>
  <c r="J11" i="2"/>
  <c r="L11" i="2"/>
  <c r="AA26" i="2"/>
  <c r="AC26" i="2" s="1"/>
  <c r="O26" i="2" s="1"/>
  <c r="J26" i="2"/>
  <c r="L26" i="2" s="1"/>
  <c r="AA30" i="2"/>
  <c r="AB30" i="2" s="1"/>
  <c r="J30" i="2"/>
  <c r="L30" i="2" s="1"/>
  <c r="O48" i="2"/>
  <c r="AD47" i="2"/>
  <c r="Q12" i="2"/>
  <c r="AG12" i="2"/>
  <c r="M12" i="2"/>
  <c r="P29" i="2"/>
  <c r="N25" i="2"/>
  <c r="AG25" i="2"/>
  <c r="N18" i="2"/>
  <c r="AG18" i="2"/>
  <c r="S25" i="2"/>
  <c r="AI29" i="2"/>
  <c r="Q27" i="2"/>
  <c r="M18" i="2"/>
  <c r="R20" i="2"/>
  <c r="Q18" i="2"/>
  <c r="Q20" i="2"/>
  <c r="S27" i="2"/>
  <c r="AC30" i="2"/>
  <c r="O30" i="2" s="1"/>
  <c r="AC32" i="2"/>
  <c r="O32" i="2" s="1"/>
  <c r="T32" i="2" s="1"/>
  <c r="V32" i="2" s="1"/>
  <c r="AD32" i="2" s="1"/>
  <c r="Q25" i="2"/>
  <c r="R18" i="2"/>
  <c r="AC13" i="2"/>
  <c r="AB15" i="2"/>
  <c r="AB24" i="2"/>
  <c r="O24" i="2" s="1"/>
  <c r="P18" i="2"/>
  <c r="AB16" i="2"/>
  <c r="P20" i="2"/>
  <c r="AI20" i="2"/>
  <c r="N20" i="2"/>
  <c r="AI27" i="2"/>
  <c r="Q23" i="2"/>
  <c r="AI23" i="2"/>
  <c r="AG23" i="2"/>
  <c r="N27" i="2"/>
  <c r="AG27" i="2"/>
  <c r="R32" i="2"/>
  <c r="N32" i="2"/>
  <c r="AI32" i="2"/>
  <c r="Q32" i="2"/>
  <c r="P32" i="2"/>
  <c r="M32" i="2"/>
  <c r="AI28" i="2"/>
  <c r="AG24" i="2"/>
  <c r="AI24" i="2"/>
  <c r="Q24" i="2"/>
  <c r="P24" i="2"/>
  <c r="M24" i="2"/>
  <c r="N11" i="2"/>
  <c r="AG26" i="2"/>
  <c r="N26" i="2"/>
  <c r="AI26" i="2"/>
  <c r="AD27" i="2"/>
  <c r="AD48" i="2"/>
  <c r="AD15" i="2"/>
  <c r="AC38" i="2" l="1"/>
  <c r="AB13" i="2"/>
  <c r="O13" i="2" s="1"/>
  <c r="AB17" i="2"/>
  <c r="AC17" i="2"/>
  <c r="O17" i="2" s="1"/>
  <c r="AC23" i="2"/>
  <c r="O23" i="2" s="1"/>
  <c r="AC24" i="2"/>
  <c r="AB11" i="2"/>
  <c r="AC15" i="2"/>
  <c r="O15" i="2" s="1"/>
  <c r="AC20" i="2"/>
  <c r="O20" i="2" s="1"/>
  <c r="AB38" i="2"/>
  <c r="O38" i="2" s="1"/>
  <c r="AB26" i="2"/>
  <c r="AB32" i="2"/>
  <c r="AC37" i="2"/>
  <c r="AC12" i="2"/>
  <c r="O12" i="2" s="1"/>
  <c r="AC11" i="2"/>
  <c r="O11" i="2" s="1"/>
  <c r="AB28" i="2"/>
  <c r="O28" i="2" s="1"/>
  <c r="AB23" i="2"/>
  <c r="AB45" i="2"/>
  <c r="AC39" i="2"/>
  <c r="O39" i="2" s="1"/>
  <c r="S30" i="2"/>
  <c r="Q30" i="2"/>
  <c r="AG30" i="2"/>
  <c r="R30" i="2"/>
  <c r="M30" i="2"/>
  <c r="N30" i="2"/>
  <c r="P30" i="2"/>
  <c r="AI30" i="2"/>
  <c r="AB18" i="2"/>
  <c r="AC18" i="2"/>
  <c r="O18" i="2" s="1"/>
  <c r="T18" i="2" s="1"/>
  <c r="V18" i="2" s="1"/>
  <c r="AD18" i="2" s="1"/>
  <c r="Q15" i="2"/>
  <c r="M15" i="2"/>
  <c r="N15" i="2"/>
  <c r="P15" i="2"/>
  <c r="AI15" i="2"/>
  <c r="AG15" i="2"/>
  <c r="R15" i="2"/>
  <c r="Q48" i="2"/>
  <c r="M48" i="2"/>
  <c r="P48" i="2"/>
  <c r="AI48" i="2"/>
  <c r="AG48" i="2"/>
  <c r="R48" i="2"/>
  <c r="T48" i="2" s="1"/>
  <c r="N48" i="2"/>
  <c r="N13" i="2"/>
  <c r="AI13" i="2"/>
  <c r="P13" i="2"/>
  <c r="Q13" i="2"/>
  <c r="M13" i="2"/>
  <c r="AG13" i="2"/>
  <c r="R13" i="2"/>
  <c r="N31" i="2"/>
  <c r="AG31" i="2"/>
  <c r="AI31" i="2"/>
  <c r="M31" i="2"/>
  <c r="Q31" i="2"/>
  <c r="P31" i="2"/>
  <c r="R31" i="2"/>
  <c r="P11" i="2"/>
  <c r="M11" i="2"/>
  <c r="N33" i="2"/>
  <c r="R33" i="2"/>
  <c r="P33" i="2"/>
  <c r="R11" i="2"/>
  <c r="P44" i="2"/>
  <c r="M44" i="2"/>
  <c r="R44" i="2"/>
  <c r="AI44" i="2"/>
  <c r="N44" i="2"/>
  <c r="S39" i="2"/>
  <c r="P39" i="2"/>
  <c r="AI39" i="2"/>
  <c r="M39" i="2"/>
  <c r="R39" i="2"/>
  <c r="AG39" i="2"/>
  <c r="AI11" i="2"/>
  <c r="Q28" i="2"/>
  <c r="AC28" i="2"/>
  <c r="M26" i="2"/>
  <c r="S26" i="2"/>
  <c r="T26" i="2" s="1"/>
  <c r="Q26" i="2"/>
  <c r="AG47" i="2"/>
  <c r="S11" i="2"/>
  <c r="J19" i="2"/>
  <c r="L19" i="2" s="1"/>
  <c r="AA19" i="2"/>
  <c r="AG20" i="2"/>
  <c r="M20" i="2"/>
  <c r="S20" i="2"/>
  <c r="AA21" i="2"/>
  <c r="J21" i="2"/>
  <c r="L21" i="2" s="1"/>
  <c r="AA22" i="2"/>
  <c r="J22" i="2"/>
  <c r="L22" i="2" s="1"/>
  <c r="N38" i="2"/>
  <c r="Q41" i="2"/>
  <c r="P41" i="2"/>
  <c r="N41" i="2"/>
  <c r="R41" i="2"/>
  <c r="S41" i="2"/>
  <c r="M41" i="2"/>
  <c r="AB35" i="2"/>
  <c r="O35" i="2" s="1"/>
  <c r="AC35" i="2"/>
  <c r="P34" i="2"/>
  <c r="AI34" i="2"/>
  <c r="M34" i="2"/>
  <c r="R34" i="2"/>
  <c r="S34" i="2"/>
  <c r="AG34" i="2"/>
  <c r="R40" i="2"/>
  <c r="AG40" i="2"/>
  <c r="S40" i="2"/>
  <c r="M40" i="2"/>
  <c r="AI40" i="2"/>
  <c r="N40" i="2"/>
  <c r="R26" i="2"/>
  <c r="Q11" i="2"/>
  <c r="P28" i="2"/>
  <c r="S28" i="2"/>
  <c r="M25" i="2"/>
  <c r="R25" i="2"/>
  <c r="P25" i="2"/>
  <c r="S12" i="2"/>
  <c r="S13" i="2"/>
  <c r="S15" i="2"/>
  <c r="AC25" i="2"/>
  <c r="O25" i="2" s="1"/>
  <c r="AB25" i="2"/>
  <c r="AB44" i="2"/>
  <c r="AC44" i="2"/>
  <c r="O44" i="2" s="1"/>
  <c r="AB43" i="2"/>
  <c r="AC43" i="2"/>
  <c r="O43" i="2" s="1"/>
  <c r="T43" i="2" s="1"/>
  <c r="V43" i="2" s="1"/>
  <c r="AD43" i="2" s="1"/>
  <c r="AA42" i="2"/>
  <c r="J42" i="2"/>
  <c r="L42" i="2" s="1"/>
  <c r="AI33" i="2"/>
  <c r="F49" i="2"/>
  <c r="AG11" i="2"/>
  <c r="G49" i="2"/>
  <c r="Z49" i="2"/>
  <c r="B49" i="2" s="1"/>
  <c r="S47" i="2"/>
  <c r="N39" i="2"/>
  <c r="R36" i="2"/>
  <c r="AG36" i="2"/>
  <c r="S36" i="2"/>
  <c r="M36" i="2"/>
  <c r="AI36" i="2"/>
  <c r="N36" i="2"/>
  <c r="S19" i="2"/>
  <c r="AB29" i="2"/>
  <c r="AC29" i="2"/>
  <c r="O29" i="2" s="1"/>
  <c r="R47" i="2"/>
  <c r="AI47" i="2"/>
  <c r="Q47" i="2"/>
  <c r="P47" i="2"/>
  <c r="N47" i="2"/>
  <c r="AB20" i="2"/>
  <c r="Q29" i="2"/>
  <c r="AG29" i="2"/>
  <c r="R29" i="2"/>
  <c r="M29" i="2"/>
  <c r="AB33" i="2"/>
  <c r="O33" i="2" s="1"/>
  <c r="AC33" i="2"/>
  <c r="AG33" i="2"/>
  <c r="R24" i="2"/>
  <c r="T24" i="2" s="1"/>
  <c r="V24" i="2" s="1"/>
  <c r="AD24" i="2" s="1"/>
  <c r="N24" i="2"/>
  <c r="AI12" i="2"/>
  <c r="R12" i="2"/>
  <c r="P12" i="2"/>
  <c r="S31" i="2"/>
  <c r="S33" i="2"/>
  <c r="Q39" i="2"/>
  <c r="AG46" i="2"/>
  <c r="P46" i="2"/>
  <c r="AI46" i="2"/>
  <c r="N46" i="2"/>
  <c r="R46" i="2"/>
  <c r="T46" i="2" s="1"/>
  <c r="V46" i="2" s="1"/>
  <c r="S45" i="2"/>
  <c r="P38" i="2"/>
  <c r="AI38" i="2"/>
  <c r="M38" i="2"/>
  <c r="R38" i="2"/>
  <c r="AG38" i="2"/>
  <c r="P35" i="2"/>
  <c r="AI35" i="2"/>
  <c r="N35" i="2"/>
  <c r="R35" i="2"/>
  <c r="Q35" i="2"/>
  <c r="AG28" i="2"/>
  <c r="R28" i="2"/>
  <c r="P40" i="2"/>
  <c r="Q44" i="2"/>
  <c r="M45" i="2"/>
  <c r="Q45" i="2"/>
  <c r="N45" i="2"/>
  <c r="R45" i="2"/>
  <c r="AI45" i="2"/>
  <c r="AC46" i="2"/>
  <c r="AB27" i="2"/>
  <c r="AB46" i="2"/>
  <c r="AC27" i="2"/>
  <c r="O27" i="2" s="1"/>
  <c r="AB31" i="2"/>
  <c r="AB12" i="2"/>
  <c r="AC31" i="2"/>
  <c r="O31" i="2" s="1"/>
  <c r="AB34" i="2"/>
  <c r="Q33" i="2"/>
  <c r="P26" i="2"/>
  <c r="M28" i="2"/>
  <c r="AI25" i="2"/>
  <c r="M33" i="2"/>
  <c r="AG32" i="2"/>
  <c r="M27" i="2"/>
  <c r="R27" i="2"/>
  <c r="P27" i="2"/>
  <c r="M23" i="2"/>
  <c r="S23" i="2"/>
  <c r="R23" i="2"/>
  <c r="P23" i="2"/>
  <c r="AA14" i="2"/>
  <c r="J14" i="2"/>
  <c r="L14" i="2" s="1"/>
  <c r="J16" i="2"/>
  <c r="L16" i="2" s="1"/>
  <c r="J17" i="2"/>
  <c r="L17" i="2" s="1"/>
  <c r="AG45" i="2"/>
  <c r="Q40" i="2"/>
  <c r="S44" i="2"/>
  <c r="Q37" i="2"/>
  <c r="N37" i="2"/>
  <c r="R37" i="2"/>
  <c r="T37" i="2" s="1"/>
  <c r="AG37" i="2"/>
  <c r="P37" i="2"/>
  <c r="M37" i="2"/>
  <c r="AA36" i="2"/>
  <c r="AG43" i="2"/>
  <c r="AA40" i="2"/>
  <c r="T25" i="2" l="1"/>
  <c r="T27" i="2"/>
  <c r="T38" i="2"/>
  <c r="V38" i="2" s="1"/>
  <c r="AD38" i="2" s="1"/>
  <c r="T20" i="2"/>
  <c r="T23" i="2"/>
  <c r="T29" i="2"/>
  <c r="V29" i="2" s="1"/>
  <c r="AD29" i="2" s="1"/>
  <c r="P14" i="2"/>
  <c r="S14" i="2"/>
  <c r="AG14" i="2"/>
  <c r="Q14" i="2"/>
  <c r="R14" i="2"/>
  <c r="AI14" i="2"/>
  <c r="M14" i="2"/>
  <c r="N14" i="2"/>
  <c r="V26" i="2"/>
  <c r="AD26" i="2" s="1"/>
  <c r="V23" i="2"/>
  <c r="AD23" i="2" s="1"/>
  <c r="T47" i="2"/>
  <c r="V47" i="2" s="1"/>
  <c r="AC42" i="2"/>
  <c r="O42" i="2" s="1"/>
  <c r="AB42" i="2"/>
  <c r="T13" i="2"/>
  <c r="T34" i="2"/>
  <c r="T41" i="2"/>
  <c r="V41" i="2" s="1"/>
  <c r="AD41" i="2" s="1"/>
  <c r="S21" i="2"/>
  <c r="AG21" i="2"/>
  <c r="P21" i="2"/>
  <c r="N21" i="2"/>
  <c r="AI21" i="2"/>
  <c r="Q21" i="2"/>
  <c r="R21" i="2"/>
  <c r="M21" i="2"/>
  <c r="AG17" i="2"/>
  <c r="R17" i="2"/>
  <c r="N17" i="2"/>
  <c r="AI17" i="2"/>
  <c r="S17" i="2"/>
  <c r="Q17" i="2"/>
  <c r="M17" i="2"/>
  <c r="P17" i="2"/>
  <c r="T12" i="2"/>
  <c r="V12" i="2" s="1"/>
  <c r="AD12" i="2" s="1"/>
  <c r="AC21" i="2"/>
  <c r="O21" i="2" s="1"/>
  <c r="AB21" i="2"/>
  <c r="V13" i="2"/>
  <c r="AD13" i="2" s="1"/>
  <c r="AB40" i="2"/>
  <c r="AC40" i="2"/>
  <c r="O40" i="2" s="1"/>
  <c r="T40" i="2" s="1"/>
  <c r="V40" i="2" s="1"/>
  <c r="AD40" i="2" s="1"/>
  <c r="AB36" i="2"/>
  <c r="AC36" i="2"/>
  <c r="O36" i="2" s="1"/>
  <c r="T36" i="2" s="1"/>
  <c r="V36" i="2" s="1"/>
  <c r="T44" i="2"/>
  <c r="V44" i="2" s="1"/>
  <c r="AD44" i="2" s="1"/>
  <c r="AC14" i="2"/>
  <c r="O14" i="2" s="1"/>
  <c r="AB14" i="2"/>
  <c r="V25" i="2"/>
  <c r="AD25" i="2" s="1"/>
  <c r="T39" i="2"/>
  <c r="V39" i="2" s="1"/>
  <c r="AD39" i="2" s="1"/>
  <c r="V20" i="2"/>
  <c r="AD20" i="2" s="1"/>
  <c r="V37" i="2"/>
  <c r="AD37" i="2" s="1"/>
  <c r="T28" i="2"/>
  <c r="V28" i="2" s="1"/>
  <c r="AD28" i="2" s="1"/>
  <c r="AB19" i="2"/>
  <c r="AC19" i="2"/>
  <c r="O19" i="2" s="1"/>
  <c r="T30" i="2"/>
  <c r="V30" i="2" s="1"/>
  <c r="AD30" i="2" s="1"/>
  <c r="P16" i="2"/>
  <c r="M16" i="2"/>
  <c r="R16" i="2"/>
  <c r="S16" i="2"/>
  <c r="AG16" i="2"/>
  <c r="AI16" i="2"/>
  <c r="Q16" i="2"/>
  <c r="N16" i="2"/>
  <c r="T35" i="2"/>
  <c r="V35" i="2" s="1"/>
  <c r="AD35" i="2" s="1"/>
  <c r="T33" i="2"/>
  <c r="V33" i="2" s="1"/>
  <c r="AD33" i="2" s="1"/>
  <c r="Q22" i="2"/>
  <c r="AI22" i="2"/>
  <c r="AG22" i="2"/>
  <c r="R22" i="2"/>
  <c r="N22" i="2"/>
  <c r="M22" i="2"/>
  <c r="S22" i="2"/>
  <c r="P22" i="2"/>
  <c r="Q19" i="2"/>
  <c r="P19" i="2"/>
  <c r="AG19" i="2"/>
  <c r="N19" i="2"/>
  <c r="R19" i="2"/>
  <c r="T19" i="2" s="1"/>
  <c r="M19" i="2"/>
  <c r="AI19" i="2"/>
  <c r="V48" i="2"/>
  <c r="V34" i="2"/>
  <c r="AD34" i="2" s="1"/>
  <c r="V27" i="2"/>
  <c r="T45" i="2"/>
  <c r="V45" i="2" s="1"/>
  <c r="T31" i="2"/>
  <c r="V31" i="2" s="1"/>
  <c r="AD31" i="2" s="1"/>
  <c r="AG42" i="2"/>
  <c r="P42" i="2"/>
  <c r="AI42" i="2"/>
  <c r="S42" i="2"/>
  <c r="N42" i="2"/>
  <c r="R42" i="2"/>
  <c r="M42" i="2"/>
  <c r="Q42" i="2"/>
  <c r="T15" i="2"/>
  <c r="V15" i="2" s="1"/>
  <c r="AC22" i="2"/>
  <c r="AB22" i="2"/>
  <c r="O22" i="2" s="1"/>
  <c r="T11" i="2"/>
  <c r="V11" i="2" s="1"/>
  <c r="AD11" i="2" l="1"/>
  <c r="V19" i="2"/>
  <c r="AD19" i="2" s="1"/>
  <c r="T17" i="2"/>
  <c r="V17" i="2" s="1"/>
  <c r="AD17" i="2" s="1"/>
  <c r="T16" i="2"/>
  <c r="V16" i="2" s="1"/>
  <c r="AD16" i="2" s="1"/>
  <c r="T42" i="2"/>
  <c r="V42" i="2" s="1"/>
  <c r="AD42" i="2" s="1"/>
  <c r="T21" i="2"/>
  <c r="V21" i="2" s="1"/>
  <c r="AD21" i="2" s="1"/>
  <c r="T14" i="2"/>
  <c r="V14" i="2" s="1"/>
  <c r="T22" i="2"/>
  <c r="V22" i="2" s="1"/>
  <c r="AD22" i="2" s="1"/>
  <c r="AD14" i="2" l="1"/>
  <c r="V49" i="2"/>
  <c r="AD49" i="2"/>
  <c r="V50" i="2" s="1"/>
  <c r="V51" i="2" l="1"/>
</calcChain>
</file>

<file path=xl/sharedStrings.xml><?xml version="1.0" encoding="utf-8"?>
<sst xmlns="http://schemas.openxmlformats.org/spreadsheetml/2006/main" count="136" uniqueCount="92">
  <si>
    <t>Zone de calcul</t>
  </si>
  <si>
    <t>Mortalité générale</t>
  </si>
  <si>
    <t>Survivants S(x) à l'âge x</t>
  </si>
  <si>
    <t>Quotient de mortalité Q(x, x+1) pour 100 000 survivants à l'âge x</t>
  </si>
  <si>
    <t>Espérance de vie E(x) à l'âge x</t>
  </si>
  <si>
    <t>Age</t>
  </si>
  <si>
    <t>Sexe masculin</t>
  </si>
  <si>
    <t>Sexe féminin</t>
  </si>
  <si>
    <t>Ensemble</t>
  </si>
  <si>
    <t>survie à 65 ans</t>
  </si>
  <si>
    <t>x</t>
  </si>
  <si>
    <t>S(x)</t>
  </si>
  <si>
    <t>Q(x, x+1)</t>
  </si>
  <si>
    <t>E(x)</t>
  </si>
  <si>
    <t>H</t>
  </si>
  <si>
    <t>F</t>
  </si>
  <si>
    <t>http://www.ined.fr/fr/france/mortalite_causes_deces/table_mortalite/</t>
  </si>
  <si>
    <t>Comptes</t>
  </si>
  <si>
    <t>Données générales</t>
  </si>
  <si>
    <t>Coefficient d'actualisation</t>
  </si>
  <si>
    <t>Âge départ maxi</t>
  </si>
  <si>
    <t>naissance</t>
  </si>
  <si>
    <t>ancienneté en années</t>
  </si>
  <si>
    <t>Progression estimée des salaires</t>
  </si>
  <si>
    <t>Taux de départ</t>
  </si>
  <si>
    <t>âge départ</t>
  </si>
  <si>
    <t>droits en mois</t>
  </si>
  <si>
    <t>Calcul</t>
  </si>
  <si>
    <t>Estimation à la date du</t>
  </si>
  <si>
    <t>Données à saisir</t>
  </si>
  <si>
    <t>calcul ancienneté</t>
  </si>
  <si>
    <t>droits acquis</t>
  </si>
  <si>
    <t>calcul du coefficient</t>
  </si>
  <si>
    <t>% charges sociales</t>
  </si>
  <si>
    <t>provision estimée</t>
  </si>
  <si>
    <t>mouvements</t>
  </si>
  <si>
    <t>probabilité de survie</t>
  </si>
  <si>
    <t>salaire brut</t>
  </si>
  <si>
    <t>identité</t>
  </si>
  <si>
    <t>né(e) le</t>
  </si>
  <si>
    <t>sexe</t>
  </si>
  <si>
    <t>entrée</t>
  </si>
  <si>
    <t>sortie</t>
  </si>
  <si>
    <t>brut mois</t>
  </si>
  <si>
    <t>charges mois</t>
  </si>
  <si>
    <t>âge</t>
  </si>
  <si>
    <t>retraite</t>
  </si>
  <si>
    <t>départ</t>
  </si>
  <si>
    <t>écoulée</t>
  </si>
  <si>
    <t>reste</t>
  </si>
  <si>
    <t>nb de mois</t>
  </si>
  <si>
    <t>ancien.</t>
  </si>
  <si>
    <t>mortalité</t>
  </si>
  <si>
    <t>probabilité reste</t>
  </si>
  <si>
    <t>hausse salaire</t>
  </si>
  <si>
    <t>actualisation</t>
  </si>
  <si>
    <t>durée écoulée</t>
  </si>
  <si>
    <t>% appliqué</t>
  </si>
  <si>
    <t>entrée année</t>
  </si>
  <si>
    <t>sortie année</t>
  </si>
  <si>
    <t>effectif</t>
  </si>
  <si>
    <t>âge arrondi</t>
  </si>
  <si>
    <t>taux</t>
  </si>
  <si>
    <t>année</t>
  </si>
  <si>
    <t>Totaux</t>
  </si>
  <si>
    <t>Brut</t>
  </si>
  <si>
    <t>Mode d'emploi :</t>
  </si>
  <si>
    <t>Les zones de saisie sont indiquées en vert.</t>
  </si>
  <si>
    <t>Charges</t>
  </si>
  <si>
    <t xml:space="preserve">• 175, avenue Achille Peretti 92200 Neuilly-sur-Seine • téléphone : 01.41.43.00.40 • fax : 01.47.38.13.22 • mél : courrier@cabinet-comptes.com ; site : www.cabinet-comptes.com • </t>
  </si>
  <si>
    <t>• s.a.r.l. au capital de 45.000 €, expertise comptable et commissariat aux comptes • région Paris et Île-de-France  - Cour d'appel de Versailles • R.C.S. de Nanterre • S.I.R.E.N. : 394.245.443 •</t>
  </si>
  <si>
    <t>Précisions sur les calculs</t>
  </si>
  <si>
    <t>Age de départ à la retraite</t>
  </si>
  <si>
    <t>En fonction de la date de naissance</t>
  </si>
  <si>
    <t>Si âge actuel &gt; âge de départ prévu, alors l'on retient l'âge maximum de départ</t>
  </si>
  <si>
    <t>Taux de rotation</t>
  </si>
  <si>
    <t>Estimé à 1%</t>
  </si>
  <si>
    <t>Se réduit à 0 au jour du départ et donc réduit à % de la durée restant sur durée totale de présence</t>
  </si>
  <si>
    <t>Provision IDR</t>
  </si>
  <si>
    <t>Précisions sur les modalités de calcul</t>
  </si>
  <si>
    <t>ESTIMATION DES INDEMNITÉS DE DÉPART EN RETRAITE</t>
  </si>
  <si>
    <t>2 mois à compter  de 5 ans d'ancienneté</t>
  </si>
  <si>
    <t>3 mois à compter de 10 ans d'ancienneté</t>
  </si>
  <si>
    <t>3,33 mois à 13 ans d'ancienneté</t>
  </si>
  <si>
    <t>3,66 mois à 14 ans d'ancienneté</t>
  </si>
  <si>
    <t xml:space="preserve">4 mois à 15 ans d'ancienneté </t>
  </si>
  <si>
    <t>+0,2 mois au dela de 15 ans d'ancienneté, maxi 6 mois</t>
  </si>
  <si>
    <t>Salaire moyen mensuel</t>
  </si>
  <si>
    <t>Mise à jour faite le 28/01/21</t>
  </si>
  <si>
    <t>données provisoires arrêtées à fin décembre 2019</t>
  </si>
  <si>
    <t>TABLEAU 68 - TABLE DE MORTALITÉ DES ANNÉES 2016 - 2018</t>
  </si>
  <si>
    <t>outil mis à disposition de tous sur "www.cabinet-comptes.com" : ne pas nous en reprocher votre usage…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</si>
</sst>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&quot; &quot;"/>
    <numFmt numFmtId="165" formatCode="#,##0.000&quot; &quot;"/>
    <numFmt numFmtId="166" formatCode="#,##0.000000"/>
    <numFmt numFmtId="167" formatCode="#,##0.0000"/>
    <numFmt numFmtId="168" formatCode="0.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Times"/>
      <family val="1"/>
    </font>
    <font>
      <u/>
      <sz val="10"/>
      <color theme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indexed="6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26"/>
      <color indexed="58"/>
      <name val="Kunstler Script"/>
      <family val="4"/>
    </font>
    <font>
      <sz val="11"/>
      <color theme="1"/>
      <name val="Times"/>
    </font>
    <font>
      <b/>
      <sz val="11"/>
      <color theme="1"/>
      <name val="Times"/>
    </font>
    <font>
      <u/>
      <sz val="11"/>
      <color theme="1"/>
      <name val="Times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2"/>
      <name val="Times"/>
    </font>
    <font>
      <sz val="12"/>
      <name val="Times"/>
      <family val="1"/>
    </font>
    <font>
      <sz val="10"/>
      <color rgb="FF000000"/>
      <name val="Arial"/>
      <family val="2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0" fillId="0" borderId="0"/>
    <xf numFmtId="9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9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protection locked="0"/>
    </xf>
    <xf numFmtId="0" fontId="4" fillId="0" borderId="0" xfId="0" applyFont="1" applyAlignment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3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165" fontId="2" fillId="2" borderId="7" xfId="0" applyNumberFormat="1" applyFont="1" applyFill="1" applyBorder="1" applyAlignment="1" applyProtection="1">
      <alignment horizontal="right" vertical="center"/>
      <protection locked="0"/>
    </xf>
    <xf numFmtId="3" fontId="2" fillId="0" borderId="0" xfId="0" applyNumberFormat="1" applyFont="1" applyFill="1" applyProtection="1"/>
    <xf numFmtId="166" fontId="2" fillId="0" borderId="7" xfId="0" applyNumberFormat="1" applyFont="1" applyFill="1" applyBorder="1" applyProtection="1"/>
    <xf numFmtId="3" fontId="2" fillId="2" borderId="9" xfId="0" applyNumberFormat="1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right" vertical="center"/>
      <protection locked="0"/>
    </xf>
    <xf numFmtId="165" fontId="2" fillId="2" borderId="9" xfId="0" applyNumberFormat="1" applyFont="1" applyFill="1" applyBorder="1" applyAlignment="1" applyProtection="1">
      <alignment horizontal="right" vertical="center"/>
      <protection locked="0"/>
    </xf>
    <xf numFmtId="166" fontId="2" fillId="0" borderId="9" xfId="0" applyNumberFormat="1" applyFont="1" applyFill="1" applyBorder="1" applyProtection="1"/>
    <xf numFmtId="166" fontId="2" fillId="0" borderId="10" xfId="0" applyNumberFormat="1" applyFont="1" applyFill="1" applyBorder="1" applyProtection="1"/>
    <xf numFmtId="3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165" fontId="2" fillId="2" borderId="10" xfId="0" applyNumberFormat="1" applyFont="1" applyFill="1" applyBorder="1" applyAlignment="1" applyProtection="1">
      <alignment horizontal="right" vertical="center"/>
      <protection locked="0"/>
    </xf>
    <xf numFmtId="0" fontId="5" fillId="0" borderId="0" xfId="2" applyFill="1" applyProtection="1">
      <protection locked="0"/>
    </xf>
    <xf numFmtId="0" fontId="2" fillId="0" borderId="0" xfId="0" applyFont="1" applyFill="1" applyAlignment="1" applyProtection="1">
      <alignment vertical="center"/>
      <protection locked="0"/>
    </xf>
    <xf numFmtId="10" fontId="7" fillId="4" borderId="8" xfId="1" applyNumberFormat="1" applyFont="1" applyFill="1" applyBorder="1" applyProtection="1">
      <protection locked="0"/>
    </xf>
    <xf numFmtId="3" fontId="7" fillId="2" borderId="8" xfId="0" applyNumberFormat="1" applyFont="1" applyFill="1" applyBorder="1" applyProtection="1">
      <protection locked="0"/>
    </xf>
    <xf numFmtId="0" fontId="7" fillId="4" borderId="2" xfId="0" applyNumberFormat="1" applyFont="1" applyFill="1" applyBorder="1" applyProtection="1">
      <protection locked="0"/>
    </xf>
    <xf numFmtId="0" fontId="7" fillId="4" borderId="7" xfId="0" applyNumberFormat="1" applyFont="1" applyFill="1" applyBorder="1" applyProtection="1">
      <protection locked="0"/>
    </xf>
    <xf numFmtId="4" fontId="7" fillId="4" borderId="7" xfId="0" applyNumberFormat="1" applyFont="1" applyFill="1" applyBorder="1" applyProtection="1">
      <protection locked="0"/>
    </xf>
    <xf numFmtId="10" fontId="7" fillId="2" borderId="11" xfId="1" applyNumberFormat="1" applyFont="1" applyFill="1" applyBorder="1" applyProtection="1">
      <protection locked="0"/>
    </xf>
    <xf numFmtId="0" fontId="7" fillId="4" borderId="6" xfId="0" applyNumberFormat="1" applyFont="1" applyFill="1" applyBorder="1" applyProtection="1">
      <protection locked="0"/>
    </xf>
    <xf numFmtId="0" fontId="7" fillId="4" borderId="10" xfId="0" applyNumberFormat="1" applyFont="1" applyFill="1" applyBorder="1" applyProtection="1">
      <protection locked="0"/>
    </xf>
    <xf numFmtId="4" fontId="7" fillId="4" borderId="10" xfId="0" applyNumberFormat="1" applyFont="1" applyFill="1" applyBorder="1" applyProtection="1">
      <protection locked="0"/>
    </xf>
    <xf numFmtId="14" fontId="7" fillId="2" borderId="14" xfId="0" applyNumberFormat="1" applyFont="1" applyFill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3" fillId="0" borderId="0" xfId="0" quotePrefix="1" applyFont="1"/>
    <xf numFmtId="4" fontId="12" fillId="0" borderId="0" xfId="0" applyNumberFormat="1" applyFont="1" applyFill="1" applyBorder="1" applyProtection="1">
      <protection hidden="1"/>
    </xf>
    <xf numFmtId="4" fontId="6" fillId="0" borderId="0" xfId="0" applyNumberFormat="1" applyFont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3" fontId="8" fillId="3" borderId="0" xfId="0" applyNumberFormat="1" applyFont="1" applyFill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4" fontId="8" fillId="3" borderId="0" xfId="0" applyNumberFormat="1" applyFont="1" applyFill="1" applyAlignment="1" applyProtection="1">
      <alignment horizontal="center" vertical="center"/>
      <protection hidden="1"/>
    </xf>
    <xf numFmtId="4" fontId="6" fillId="0" borderId="0" xfId="0" applyNumberFormat="1" applyFont="1" applyFill="1" applyAlignment="1" applyProtection="1">
      <alignment vertical="center"/>
      <protection hidden="1"/>
    </xf>
    <xf numFmtId="4" fontId="7" fillId="0" borderId="0" xfId="0" applyNumberFormat="1" applyFont="1" applyFill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4" fontId="9" fillId="0" borderId="0" xfId="0" applyNumberFormat="1" applyFont="1" applyProtection="1">
      <protection hidden="1"/>
    </xf>
    <xf numFmtId="4" fontId="7" fillId="0" borderId="0" xfId="0" applyNumberFormat="1" applyFont="1" applyProtection="1">
      <protection hidden="1"/>
    </xf>
    <xf numFmtId="3" fontId="7" fillId="0" borderId="0" xfId="0" applyNumberFormat="1" applyFont="1" applyProtection="1">
      <protection hidden="1"/>
    </xf>
    <xf numFmtId="4" fontId="7" fillId="0" borderId="0" xfId="0" applyNumberFormat="1" applyFont="1" applyFill="1" applyProtection="1">
      <protection hidden="1"/>
    </xf>
    <xf numFmtId="0" fontId="7" fillId="0" borderId="0" xfId="0" applyFont="1" applyProtection="1">
      <protection hidden="1"/>
    </xf>
    <xf numFmtId="4" fontId="7" fillId="0" borderId="1" xfId="0" applyNumberFormat="1" applyFont="1" applyBorder="1" applyProtection="1">
      <protection hidden="1"/>
    </xf>
    <xf numFmtId="4" fontId="7" fillId="0" borderId="8" xfId="0" applyNumberFormat="1" applyFont="1" applyBorder="1" applyProtection="1">
      <protection hidden="1"/>
    </xf>
    <xf numFmtId="4" fontId="7" fillId="0" borderId="2" xfId="0" applyNumberFormat="1" applyFont="1" applyBorder="1" applyProtection="1">
      <protection hidden="1"/>
    </xf>
    <xf numFmtId="4" fontId="7" fillId="0" borderId="5" xfId="0" applyNumberFormat="1" applyFont="1" applyBorder="1" applyProtection="1">
      <protection hidden="1"/>
    </xf>
    <xf numFmtId="4" fontId="7" fillId="0" borderId="11" xfId="0" applyNumberFormat="1" applyFont="1" applyBorder="1" applyProtection="1">
      <protection hidden="1"/>
    </xf>
    <xf numFmtId="4" fontId="7" fillId="0" borderId="6" xfId="0" applyNumberFormat="1" applyFont="1" applyBorder="1" applyProtection="1">
      <protection hidden="1"/>
    </xf>
    <xf numFmtId="4" fontId="7" fillId="0" borderId="0" xfId="0" applyNumberFormat="1" applyFont="1" applyBorder="1" applyProtection="1">
      <protection hidden="1"/>
    </xf>
    <xf numFmtId="14" fontId="7" fillId="0" borderId="0" xfId="0" applyNumberFormat="1" applyFont="1" applyFill="1" applyProtection="1">
      <protection hidden="1"/>
    </xf>
    <xf numFmtId="4" fontId="7" fillId="0" borderId="12" xfId="0" applyNumberFormat="1" applyFont="1" applyBorder="1" applyProtection="1">
      <protection hidden="1"/>
    </xf>
    <xf numFmtId="4" fontId="7" fillId="0" borderId="13" xfId="0" applyNumberFormat="1" applyFont="1" applyBorder="1" applyProtection="1">
      <protection hidden="1"/>
    </xf>
    <xf numFmtId="4" fontId="7" fillId="0" borderId="8" xfId="0" applyNumberFormat="1" applyFont="1" applyBorder="1" applyAlignment="1" applyProtection="1">
      <alignment horizontal="center"/>
      <protection hidden="1"/>
    </xf>
    <xf numFmtId="4" fontId="7" fillId="0" borderId="8" xfId="0" applyNumberFormat="1" applyFont="1" applyFill="1" applyBorder="1" applyProtection="1">
      <protection hidden="1"/>
    </xf>
    <xf numFmtId="0" fontId="7" fillId="0" borderId="8" xfId="0" applyFont="1" applyBorder="1" applyProtection="1">
      <protection hidden="1"/>
    </xf>
    <xf numFmtId="4" fontId="7" fillId="0" borderId="1" xfId="0" applyNumberFormat="1" applyFont="1" applyBorder="1" applyAlignment="1" applyProtection="1">
      <alignment horizontal="center"/>
      <protection hidden="1"/>
    </xf>
    <xf numFmtId="4" fontId="7" fillId="0" borderId="2" xfId="0" applyNumberFormat="1" applyFont="1" applyBorder="1" applyAlignment="1" applyProtection="1">
      <alignment horizontal="center"/>
      <protection hidden="1"/>
    </xf>
    <xf numFmtId="4" fontId="7" fillId="0" borderId="10" xfId="0" applyNumberFormat="1" applyFont="1" applyBorder="1" applyAlignment="1" applyProtection="1">
      <alignment horizontal="center" vertical="center" wrapText="1"/>
      <protection hidden="1"/>
    </xf>
    <xf numFmtId="4" fontId="7" fillId="0" borderId="5" xfId="0" applyNumberFormat="1" applyFont="1" applyBorder="1" applyAlignment="1" applyProtection="1">
      <alignment horizontal="center" vertical="center" wrapText="1"/>
      <protection hidden="1"/>
    </xf>
    <xf numFmtId="4" fontId="6" fillId="0" borderId="5" xfId="0" applyNumberFormat="1" applyFont="1" applyBorder="1" applyAlignment="1" applyProtection="1">
      <alignment horizontal="center" vertical="center" wrapText="1"/>
      <protection hidden="1"/>
    </xf>
    <xf numFmtId="3" fontId="7" fillId="0" borderId="10" xfId="0" applyNumberFormat="1" applyFont="1" applyBorder="1" applyAlignment="1" applyProtection="1">
      <alignment horizontal="center" vertical="center" wrapText="1"/>
      <protection hidden="1"/>
    </xf>
    <xf numFmtId="4" fontId="7" fillId="0" borderId="11" xfId="0" applyNumberFormat="1" applyFont="1" applyFill="1" applyBorder="1" applyAlignment="1" applyProtection="1">
      <alignment horizontal="center" vertical="center" wrapText="1"/>
      <protection hidden="1"/>
    </xf>
    <xf numFmtId="4" fontId="7" fillId="0" borderId="11" xfId="0" applyNumberFormat="1" applyFont="1" applyBorder="1" applyAlignment="1" applyProtection="1">
      <alignment horizontal="center" vertical="center" wrapText="1"/>
      <protection hidden="1"/>
    </xf>
    <xf numFmtId="4" fontId="7" fillId="0" borderId="6" xfId="0" applyNumberFormat="1" applyFont="1" applyBorder="1" applyAlignment="1" applyProtection="1">
      <alignment horizontal="center" vertical="center" wrapText="1"/>
      <protection hidden="1"/>
    </xf>
    <xf numFmtId="4" fontId="7" fillId="0" borderId="0" xfId="0" applyNumberFormat="1" applyFont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vertical="top"/>
      <protection hidden="1"/>
    </xf>
    <xf numFmtId="4" fontId="6" fillId="0" borderId="0" xfId="0" applyNumberFormat="1" applyFont="1" applyFill="1" applyBorder="1" applyAlignment="1" applyProtection="1">
      <protection hidden="1"/>
    </xf>
    <xf numFmtId="3" fontId="10" fillId="0" borderId="0" xfId="0" applyNumberFormat="1" applyFont="1" applyFill="1" applyBorder="1" applyAlignment="1" applyProtection="1">
      <protection hidden="1"/>
    </xf>
    <xf numFmtId="0" fontId="10" fillId="0" borderId="0" xfId="0" applyFont="1" applyFill="1" applyBorder="1" applyAlignment="1" applyProtection="1">
      <protection hidden="1"/>
    </xf>
    <xf numFmtId="0" fontId="8" fillId="3" borderId="0" xfId="0" applyFont="1" applyFill="1" applyAlignment="1" applyProtection="1">
      <alignment vertical="center"/>
      <protection hidden="1"/>
    </xf>
    <xf numFmtId="4" fontId="8" fillId="3" borderId="0" xfId="0" applyNumberFormat="1" applyFont="1" applyFill="1" applyAlignment="1" applyProtection="1">
      <alignment vertical="center"/>
      <protection hidden="1"/>
    </xf>
    <xf numFmtId="4" fontId="6" fillId="0" borderId="0" xfId="0" applyNumberFormat="1" applyFont="1" applyFill="1" applyAlignment="1" applyProtection="1">
      <protection hidden="1"/>
    </xf>
    <xf numFmtId="10" fontId="7" fillId="4" borderId="11" xfId="1" applyNumberFormat="1" applyFont="1" applyFill="1" applyBorder="1" applyProtection="1">
      <protection locked="0"/>
    </xf>
    <xf numFmtId="4" fontId="16" fillId="2" borderId="9" xfId="0" applyNumberFormat="1" applyFont="1" applyFill="1" applyBorder="1" applyProtection="1">
      <protection locked="0"/>
    </xf>
    <xf numFmtId="14" fontId="16" fillId="4" borderId="9" xfId="0" applyNumberFormat="1" applyFont="1" applyFill="1" applyBorder="1" applyProtection="1">
      <protection locked="0"/>
    </xf>
    <xf numFmtId="4" fontId="16" fillId="4" borderId="9" xfId="0" applyNumberFormat="1" applyFont="1" applyFill="1" applyBorder="1" applyAlignment="1" applyProtection="1">
      <alignment horizontal="center"/>
      <protection locked="0"/>
    </xf>
    <xf numFmtId="4" fontId="17" fillId="4" borderId="9" xfId="0" applyNumberFormat="1" applyFont="1" applyFill="1" applyBorder="1" applyProtection="1">
      <protection locked="0"/>
    </xf>
    <xf numFmtId="4" fontId="17" fillId="0" borderId="3" xfId="0" applyNumberFormat="1" applyFont="1" applyBorder="1" applyProtection="1">
      <protection hidden="1"/>
    </xf>
    <xf numFmtId="4" fontId="17" fillId="0" borderId="9" xfId="0" applyNumberFormat="1" applyFont="1" applyBorder="1" applyProtection="1">
      <protection hidden="1"/>
    </xf>
    <xf numFmtId="4" fontId="17" fillId="0" borderId="7" xfId="0" applyNumberFormat="1" applyFont="1" applyBorder="1" applyProtection="1">
      <protection hidden="1"/>
    </xf>
    <xf numFmtId="3" fontId="17" fillId="0" borderId="7" xfId="0" applyNumberFormat="1" applyFont="1" applyFill="1" applyBorder="1" applyProtection="1">
      <protection hidden="1"/>
    </xf>
    <xf numFmtId="167" fontId="17" fillId="0" borderId="9" xfId="0" applyNumberFormat="1" applyFont="1" applyFill="1" applyBorder="1" applyProtection="1">
      <protection hidden="1"/>
    </xf>
    <xf numFmtId="167" fontId="17" fillId="0" borderId="7" xfId="0" applyNumberFormat="1" applyFont="1" applyFill="1" applyBorder="1" applyProtection="1">
      <protection hidden="1"/>
    </xf>
    <xf numFmtId="167" fontId="17" fillId="0" borderId="9" xfId="0" applyNumberFormat="1" applyFont="1" applyBorder="1" applyProtection="1">
      <protection hidden="1"/>
    </xf>
    <xf numFmtId="4" fontId="17" fillId="0" borderId="0" xfId="0" applyNumberFormat="1" applyFont="1" applyFill="1" applyProtection="1">
      <protection hidden="1"/>
    </xf>
    <xf numFmtId="3" fontId="17" fillId="0" borderId="9" xfId="0" applyNumberFormat="1" applyFont="1" applyBorder="1" applyProtection="1">
      <protection hidden="1"/>
    </xf>
    <xf numFmtId="3" fontId="17" fillId="0" borderId="7" xfId="0" applyNumberFormat="1" applyFont="1" applyBorder="1" applyProtection="1">
      <protection hidden="1"/>
    </xf>
    <xf numFmtId="167" fontId="17" fillId="0" borderId="7" xfId="0" applyNumberFormat="1" applyFont="1" applyBorder="1" applyProtection="1">
      <protection hidden="1"/>
    </xf>
    <xf numFmtId="4" fontId="17" fillId="0" borderId="0" xfId="0" applyNumberFormat="1" applyFont="1" applyProtection="1">
      <protection hidden="1"/>
    </xf>
    <xf numFmtId="168" fontId="17" fillId="0" borderId="0" xfId="1" applyNumberFormat="1" applyFont="1" applyProtection="1">
      <protection hidden="1"/>
    </xf>
    <xf numFmtId="3" fontId="17" fillId="0" borderId="9" xfId="0" applyNumberFormat="1" applyFont="1" applyFill="1" applyBorder="1" applyProtection="1">
      <protection hidden="1"/>
    </xf>
    <xf numFmtId="4" fontId="16" fillId="2" borderId="9" xfId="0" applyNumberFormat="1" applyFont="1" applyFill="1" applyBorder="1" applyAlignment="1" applyProtection="1">
      <alignment horizontal="center"/>
      <protection locked="0"/>
    </xf>
    <xf numFmtId="14" fontId="16" fillId="2" borderId="9" xfId="0" applyNumberFormat="1" applyFont="1" applyFill="1" applyBorder="1" applyProtection="1">
      <protection locked="0"/>
    </xf>
    <xf numFmtId="4" fontId="17" fillId="2" borderId="9" xfId="0" applyNumberFormat="1" applyFont="1" applyFill="1" applyBorder="1" applyProtection="1">
      <protection locked="0"/>
    </xf>
    <xf numFmtId="4" fontId="16" fillId="4" borderId="10" xfId="0" applyNumberFormat="1" applyFont="1" applyFill="1" applyBorder="1" applyAlignment="1" applyProtection="1">
      <alignment horizontal="center"/>
      <protection locked="0"/>
    </xf>
    <xf numFmtId="4" fontId="17" fillId="0" borderId="5" xfId="0" applyNumberFormat="1" applyFont="1" applyBorder="1" applyProtection="1">
      <protection hidden="1"/>
    </xf>
    <xf numFmtId="4" fontId="17" fillId="0" borderId="10" xfId="0" applyNumberFormat="1" applyFont="1" applyBorder="1" applyProtection="1">
      <protection hidden="1"/>
    </xf>
    <xf numFmtId="3" fontId="17" fillId="0" borderId="10" xfId="0" applyNumberFormat="1" applyFont="1" applyFill="1" applyBorder="1" applyProtection="1">
      <protection hidden="1"/>
    </xf>
    <xf numFmtId="167" fontId="17" fillId="0" borderId="10" xfId="0" applyNumberFormat="1" applyFont="1" applyFill="1" applyBorder="1" applyProtection="1">
      <protection hidden="1"/>
    </xf>
    <xf numFmtId="167" fontId="17" fillId="0" borderId="10" xfId="0" applyNumberFormat="1" applyFont="1" applyBorder="1" applyProtection="1">
      <protection hidden="1"/>
    </xf>
    <xf numFmtId="3" fontId="17" fillId="0" borderId="10" xfId="0" applyNumberFormat="1" applyFont="1" applyBorder="1" applyProtection="1">
      <protection hidden="1"/>
    </xf>
    <xf numFmtId="3" fontId="17" fillId="0" borderId="15" xfId="0" applyNumberFormat="1" applyFont="1" applyBorder="1" applyAlignment="1" applyProtection="1">
      <alignment horizontal="center"/>
      <protection hidden="1"/>
    </xf>
    <xf numFmtId="4" fontId="17" fillId="0" borderId="15" xfId="0" applyNumberFormat="1" applyFont="1" applyBorder="1" applyProtection="1">
      <protection hidden="1"/>
    </xf>
    <xf numFmtId="3" fontId="17" fillId="0" borderId="0" xfId="0" applyNumberFormat="1" applyFont="1" applyBorder="1" applyProtection="1">
      <protection hidden="1"/>
    </xf>
    <xf numFmtId="4" fontId="17" fillId="0" borderId="0" xfId="0" applyNumberFormat="1" applyFont="1" applyFill="1" applyBorder="1" applyProtection="1">
      <protection hidden="1"/>
    </xf>
    <xf numFmtId="3" fontId="17" fillId="0" borderId="0" xfId="0" applyNumberFormat="1" applyFont="1" applyProtection="1">
      <protection hidden="1"/>
    </xf>
    <xf numFmtId="4" fontId="16" fillId="0" borderId="0" xfId="0" applyNumberFormat="1" applyFont="1" applyProtection="1">
      <protection hidden="1"/>
    </xf>
    <xf numFmtId="0" fontId="17" fillId="0" borderId="0" xfId="0" applyFont="1" applyProtection="1">
      <protection hidden="1"/>
    </xf>
    <xf numFmtId="0" fontId="18" fillId="0" borderId="0" xfId="0" applyFont="1" applyBorder="1" applyAlignment="1" applyProtection="1">
      <alignment vertical="top"/>
      <protection hidden="1"/>
    </xf>
    <xf numFmtId="0" fontId="19" fillId="2" borderId="0" xfId="0" applyFont="1" applyFill="1" applyBorder="1" applyAlignment="1" applyProtection="1">
      <protection hidden="1"/>
    </xf>
    <xf numFmtId="3" fontId="19" fillId="2" borderId="0" xfId="0" applyNumberFormat="1" applyFont="1" applyFill="1" applyBorder="1" applyAlignment="1" applyProtection="1">
      <protection hidden="1"/>
    </xf>
    <xf numFmtId="4" fontId="16" fillId="0" borderId="0" xfId="0" applyNumberFormat="1" applyFont="1" applyFill="1" applyBorder="1" applyAlignment="1" applyProtection="1">
      <protection hidden="1"/>
    </xf>
    <xf numFmtId="3" fontId="19" fillId="0" borderId="0" xfId="0" applyNumberFormat="1" applyFont="1" applyFill="1" applyBorder="1" applyAlignment="1" applyProtection="1">
      <protection hidden="1"/>
    </xf>
    <xf numFmtId="0" fontId="19" fillId="0" borderId="0" xfId="0" applyFont="1" applyFill="1" applyBorder="1" applyAlignment="1" applyProtection="1">
      <protection hidden="1"/>
    </xf>
    <xf numFmtId="4" fontId="16" fillId="0" borderId="10" xfId="0" applyNumberFormat="1" applyFont="1" applyFill="1" applyBorder="1" applyAlignment="1" applyProtection="1">
      <protection hidden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" fontId="6" fillId="0" borderId="7" xfId="0" applyNumberFormat="1" applyFont="1" applyBorder="1" applyAlignment="1" applyProtection="1">
      <alignment horizontal="center" vertical="center" wrapText="1"/>
      <protection hidden="1"/>
    </xf>
    <xf numFmtId="4" fontId="6" fillId="0" borderId="10" xfId="0" applyNumberFormat="1" applyFont="1" applyBorder="1" applyAlignment="1" applyProtection="1">
      <alignment horizontal="center" vertical="center" wrapText="1"/>
      <protection hidden="1"/>
    </xf>
    <xf numFmtId="4" fontId="7" fillId="0" borderId="0" xfId="0" applyNumberFormat="1" applyFont="1" applyFill="1" applyAlignment="1" applyProtection="1">
      <alignment horizontal="center" vertical="center"/>
      <protection hidden="1"/>
    </xf>
    <xf numFmtId="4" fontId="7" fillId="0" borderId="0" xfId="0" applyNumberFormat="1" applyFont="1" applyFill="1" applyAlignment="1" applyProtection="1">
      <alignment horizontal="center" vertical="center" shrinkToFit="1"/>
      <protection hidden="1"/>
    </xf>
    <xf numFmtId="4" fontId="9" fillId="0" borderId="0" xfId="0" applyNumberFormat="1" applyFont="1" applyAlignment="1" applyProtection="1">
      <alignment horizontal="center" vertical="center"/>
      <protection hidden="1"/>
    </xf>
    <xf numFmtId="4" fontId="10" fillId="0" borderId="8" xfId="0" applyNumberFormat="1" applyFont="1" applyBorder="1" applyAlignment="1" applyProtection="1">
      <alignment horizontal="center"/>
      <protection hidden="1"/>
    </xf>
    <xf numFmtId="4" fontId="10" fillId="0" borderId="2" xfId="0" applyNumberFormat="1" applyFont="1" applyBorder="1" applyAlignment="1" applyProtection="1">
      <alignment horizontal="center"/>
      <protection hidden="1"/>
    </xf>
    <xf numFmtId="4" fontId="7" fillId="0" borderId="1" xfId="0" applyNumberFormat="1" applyFont="1" applyBorder="1" applyAlignment="1" applyProtection="1">
      <alignment horizontal="center"/>
      <protection hidden="1"/>
    </xf>
    <xf numFmtId="4" fontId="7" fillId="0" borderId="8" xfId="0" applyNumberFormat="1" applyFont="1" applyBorder="1" applyAlignment="1" applyProtection="1">
      <alignment horizontal="center"/>
      <protection hidden="1"/>
    </xf>
    <xf numFmtId="4" fontId="7" fillId="0" borderId="2" xfId="0" applyNumberFormat="1" applyFont="1" applyBorder="1" applyAlignment="1" applyProtection="1">
      <alignment horizontal="center"/>
      <protection hidden="1"/>
    </xf>
    <xf numFmtId="4" fontId="6" fillId="0" borderId="1" xfId="0" applyNumberFormat="1" applyFont="1" applyBorder="1" applyAlignment="1" applyProtection="1">
      <alignment horizontal="center"/>
      <protection hidden="1"/>
    </xf>
    <xf numFmtId="4" fontId="6" fillId="0" borderId="2" xfId="0" applyNumberFormat="1" applyFont="1" applyBorder="1" applyAlignment="1" applyProtection="1">
      <alignment horizontal="center"/>
      <protection hidden="1"/>
    </xf>
    <xf numFmtId="4" fontId="7" fillId="0" borderId="7" xfId="0" applyNumberFormat="1" applyFont="1" applyBorder="1" applyAlignment="1" applyProtection="1">
      <alignment horizontal="center" vertical="center" wrapText="1"/>
      <protection hidden="1"/>
    </xf>
    <xf numFmtId="4" fontId="7" fillId="0" borderId="10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0" xfId="3" applyFont="1" applyProtection="1">
      <protection locked="0"/>
    </xf>
    <xf numFmtId="0" fontId="22" fillId="0" borderId="0" xfId="0" applyFont="1" applyAlignment="1">
      <alignment horizontal="center"/>
    </xf>
    <xf numFmtId="3" fontId="23" fillId="0" borderId="0" xfId="0" applyNumberFormat="1" applyFont="1" applyAlignment="1" applyProtection="1">
      <alignment horizontal="right" vertical="center"/>
      <protection hidden="1"/>
    </xf>
    <xf numFmtId="3" fontId="2" fillId="0" borderId="5" xfId="0" applyNumberFormat="1" applyFont="1" applyFill="1" applyBorder="1" applyProtection="1"/>
  </cellXfs>
  <cellStyles count="8">
    <cellStyle name="Lien hypertexte" xfId="2" builtinId="8"/>
    <cellStyle name="Normal" xfId="0" builtinId="0"/>
    <cellStyle name="Normal 2" xfId="5" xr:uid="{DA5F8E1F-97BF-4AA3-A100-0AAB5D3EEBBF}"/>
    <cellStyle name="Normal 2 2" xfId="7" xr:uid="{F0DA7F13-8257-460B-93AC-8ADD4AA817D7}"/>
    <cellStyle name="Normal 3" xfId="6" xr:uid="{6440E559-C502-4225-98D3-7E84252B5BC6}"/>
    <cellStyle name="Normal 4" xfId="3" xr:uid="{D145C0DD-07ED-4642-A063-DA7F550ADC73}"/>
    <cellStyle name="Pourcentage" xfId="1" builtinId="5"/>
    <cellStyle name="Pourcentage 2" xfId="4" xr:uid="{B92EBD4C-6D44-4C52-ADAE-86CC76FCBA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ned.fr/fr/france/mortalite_causes_deces/table_mortali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showGridLines="0" workbookViewId="0">
      <selection sqref="A1:H25"/>
    </sheetView>
  </sheetViews>
  <sheetFormatPr baseColWidth="10" defaultColWidth="11.44140625" defaultRowHeight="13.8" x14ac:dyDescent="0.25"/>
  <cols>
    <col min="1" max="16384" width="11.44140625" style="38"/>
  </cols>
  <sheetData>
    <row r="1" spans="1:8" x14ac:dyDescent="0.25">
      <c r="A1" s="130" t="s">
        <v>78</v>
      </c>
      <c r="B1" s="130"/>
      <c r="C1" s="130"/>
      <c r="D1" s="130"/>
      <c r="E1" s="130"/>
      <c r="F1" s="130"/>
      <c r="G1" s="130"/>
      <c r="H1" s="130"/>
    </row>
    <row r="2" spans="1:8" x14ac:dyDescent="0.25">
      <c r="A2" s="131" t="s">
        <v>79</v>
      </c>
      <c r="B2" s="131"/>
      <c r="C2" s="131"/>
      <c r="D2" s="131"/>
      <c r="E2" s="131"/>
      <c r="F2" s="131"/>
      <c r="G2" s="131"/>
      <c r="H2" s="131"/>
    </row>
    <row r="4" spans="1:8" x14ac:dyDescent="0.25">
      <c r="A4" s="39" t="s">
        <v>18</v>
      </c>
    </row>
    <row r="6" spans="1:8" x14ac:dyDescent="0.25">
      <c r="A6" s="38" t="s">
        <v>81</v>
      </c>
    </row>
    <row r="7" spans="1:8" x14ac:dyDescent="0.25">
      <c r="A7" s="38" t="s">
        <v>82</v>
      </c>
    </row>
    <row r="8" spans="1:8" x14ac:dyDescent="0.25">
      <c r="A8" s="38" t="s">
        <v>83</v>
      </c>
    </row>
    <row r="9" spans="1:8" x14ac:dyDescent="0.25">
      <c r="A9" s="38" t="s">
        <v>84</v>
      </c>
    </row>
    <row r="10" spans="1:8" x14ac:dyDescent="0.25">
      <c r="A10" s="38" t="s">
        <v>85</v>
      </c>
    </row>
    <row r="11" spans="1:8" x14ac:dyDescent="0.25">
      <c r="A11" s="41" t="s">
        <v>86</v>
      </c>
    </row>
    <row r="16" spans="1:8" x14ac:dyDescent="0.25">
      <c r="A16" s="39" t="s">
        <v>71</v>
      </c>
    </row>
    <row r="18" spans="1:1" x14ac:dyDescent="0.25">
      <c r="A18" s="40" t="s">
        <v>72</v>
      </c>
    </row>
    <row r="19" spans="1:1" x14ac:dyDescent="0.25">
      <c r="A19" s="38" t="s">
        <v>73</v>
      </c>
    </row>
    <row r="20" spans="1:1" x14ac:dyDescent="0.25">
      <c r="A20" s="38" t="s">
        <v>74</v>
      </c>
    </row>
    <row r="22" spans="1:1" x14ac:dyDescent="0.25">
      <c r="A22" s="40" t="s">
        <v>75</v>
      </c>
    </row>
    <row r="23" spans="1:1" x14ac:dyDescent="0.25">
      <c r="A23" s="38" t="s">
        <v>76</v>
      </c>
    </row>
    <row r="24" spans="1:1" x14ac:dyDescent="0.25">
      <c r="A24" s="38" t="s">
        <v>77</v>
      </c>
    </row>
  </sheetData>
  <mergeCells count="2">
    <mergeCell ref="A1:H1"/>
    <mergeCell ref="A2:H2"/>
  </mergeCells>
  <printOptions horizontalCentered="1"/>
  <pageMargins left="0.19685039370078741" right="0.19685039370078741" top="0.59055118110236227" bottom="0.19685039370078741" header="0.19685039370078741" footer="0.19685039370078741"/>
  <pageSetup paperSize="9" scale="97" orientation="portrait" r:id="rId1"/>
  <headerFooter>
    <oddHeader>&amp;L&amp;F-&amp;A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56"/>
  <sheetViews>
    <sheetView showGridLines="0" tabSelected="1" topLeftCell="A4" zoomScale="80" zoomScaleNormal="80" workbookViewId="0">
      <selection activeCell="J7" sqref="J7"/>
    </sheetView>
  </sheetViews>
  <sheetFormatPr baseColWidth="10" defaultColWidth="11.44140625" defaultRowHeight="13.8" x14ac:dyDescent="0.25"/>
  <cols>
    <col min="1" max="1" width="23.44140625" style="53" customWidth="1"/>
    <col min="2" max="2" width="11.109375" style="53" customWidth="1"/>
    <col min="3" max="3" width="7" style="53" bestFit="1" customWidth="1"/>
    <col min="4" max="4" width="11.109375" style="53" customWidth="1"/>
    <col min="5" max="6" width="10.88671875" style="53" bestFit="1" customWidth="1"/>
    <col min="7" max="7" width="9.88671875" style="53" customWidth="1"/>
    <col min="8" max="13" width="7.5546875" style="53" customWidth="1"/>
    <col min="14" max="14" width="6.88671875" style="54" customWidth="1"/>
    <col min="15" max="15" width="9.88671875" style="55" customWidth="1"/>
    <col min="16" max="21" width="9.88671875" style="53" customWidth="1"/>
    <col min="22" max="22" width="12.88671875" style="53" customWidth="1"/>
    <col min="23" max="23" width="1.88671875" style="55" customWidth="1"/>
    <col min="24" max="24" width="7.44140625" style="53" customWidth="1"/>
    <col min="25" max="25" width="7.44140625" style="56" customWidth="1"/>
    <col min="26" max="26" width="7.44140625" style="53" customWidth="1"/>
    <col min="27" max="29" width="9" style="53" customWidth="1"/>
    <col min="30" max="30" width="11" style="53" bestFit="1" customWidth="1"/>
    <col min="31" max="16384" width="11.44140625" style="53"/>
  </cols>
  <sheetData>
    <row r="1" spans="1:35" s="43" customFormat="1" ht="33" x14ac:dyDescent="0.6">
      <c r="A1" s="42" t="s">
        <v>17</v>
      </c>
      <c r="V1" s="157" t="s">
        <v>91</v>
      </c>
      <c r="W1" s="44"/>
    </row>
    <row r="2" spans="1:35" s="48" customFormat="1" ht="4.5" customHeight="1" x14ac:dyDescent="0.3">
      <c r="A2" s="45"/>
      <c r="B2" s="46"/>
      <c r="C2" s="46"/>
      <c r="D2" s="46"/>
      <c r="E2" s="46"/>
      <c r="F2" s="47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35" s="50" customFormat="1" ht="39" customHeight="1" x14ac:dyDescent="0.3">
      <c r="A3" s="136" t="s">
        <v>80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49"/>
      <c r="Y3" s="51"/>
    </row>
    <row r="4" spans="1:35" ht="18.75" customHeight="1" x14ac:dyDescent="0.25">
      <c r="A4" s="52" t="s">
        <v>18</v>
      </c>
    </row>
    <row r="5" spans="1:35" ht="18.75" customHeight="1" x14ac:dyDescent="0.25">
      <c r="A5" s="57" t="s">
        <v>19</v>
      </c>
      <c r="B5" s="58"/>
      <c r="C5" s="28">
        <v>0.02</v>
      </c>
      <c r="D5" s="57" t="s">
        <v>20</v>
      </c>
      <c r="E5" s="58"/>
      <c r="F5" s="29">
        <v>65</v>
      </c>
      <c r="G5" s="57" t="s">
        <v>21</v>
      </c>
      <c r="H5" s="58"/>
      <c r="I5" s="59"/>
      <c r="J5" s="30">
        <v>1952</v>
      </c>
      <c r="K5" s="31">
        <v>1953</v>
      </c>
      <c r="L5" s="31">
        <v>1954</v>
      </c>
      <c r="M5" s="31">
        <v>1955</v>
      </c>
      <c r="N5" s="31">
        <v>1957</v>
      </c>
      <c r="O5" s="57" t="s">
        <v>22</v>
      </c>
      <c r="P5" s="57"/>
      <c r="Q5" s="32">
        <v>5</v>
      </c>
      <c r="R5" s="32">
        <v>10</v>
      </c>
      <c r="S5" s="32">
        <v>13</v>
      </c>
      <c r="T5" s="32">
        <v>14</v>
      </c>
      <c r="U5" s="32">
        <v>15</v>
      </c>
      <c r="V5" s="32">
        <v>25</v>
      </c>
      <c r="W5" s="53"/>
      <c r="Y5" s="55"/>
      <c r="AA5" s="56"/>
    </row>
    <row r="6" spans="1:35" ht="18.75" customHeight="1" x14ac:dyDescent="0.25">
      <c r="A6" s="60" t="s">
        <v>23</v>
      </c>
      <c r="B6" s="61"/>
      <c r="C6" s="33">
        <v>0.03</v>
      </c>
      <c r="D6" s="60" t="s">
        <v>24</v>
      </c>
      <c r="E6" s="61"/>
      <c r="F6" s="87">
        <v>0.01</v>
      </c>
      <c r="G6" s="60" t="s">
        <v>25</v>
      </c>
      <c r="H6" s="61"/>
      <c r="I6" s="62"/>
      <c r="J6" s="34">
        <v>61</v>
      </c>
      <c r="K6" s="35">
        <v>62</v>
      </c>
      <c r="L6" s="35">
        <v>63</v>
      </c>
      <c r="M6" s="35">
        <v>64</v>
      </c>
      <c r="N6" s="35">
        <v>65</v>
      </c>
      <c r="O6" s="60" t="s">
        <v>26</v>
      </c>
      <c r="P6" s="60"/>
      <c r="Q6" s="36">
        <v>2</v>
      </c>
      <c r="R6" s="36">
        <v>3</v>
      </c>
      <c r="S6" s="36">
        <v>3.33</v>
      </c>
      <c r="T6" s="36">
        <v>3.66</v>
      </c>
      <c r="U6" s="36">
        <v>4</v>
      </c>
      <c r="V6" s="36">
        <v>6</v>
      </c>
      <c r="W6" s="53"/>
      <c r="Y6" s="55"/>
      <c r="AA6" s="56"/>
    </row>
    <row r="7" spans="1:35" ht="18.75" customHeight="1" x14ac:dyDescent="0.25">
      <c r="A7" s="63"/>
      <c r="B7" s="63"/>
      <c r="C7" s="63"/>
      <c r="D7" s="63"/>
      <c r="E7" s="63"/>
      <c r="F7" s="63"/>
      <c r="G7" s="63"/>
      <c r="K7" s="63"/>
      <c r="L7" s="63"/>
      <c r="M7" s="63"/>
      <c r="N7" s="63"/>
      <c r="O7" s="63"/>
      <c r="W7" s="53"/>
      <c r="Y7" s="55"/>
      <c r="AA7" s="56"/>
    </row>
    <row r="8" spans="1:35" ht="18.75" customHeight="1" x14ac:dyDescent="0.25">
      <c r="A8" s="52" t="s">
        <v>27</v>
      </c>
      <c r="D8" s="64"/>
      <c r="S8" s="65" t="s">
        <v>28</v>
      </c>
      <c r="T8" s="66"/>
      <c r="U8" s="66"/>
      <c r="V8" s="37">
        <v>42735</v>
      </c>
    </row>
    <row r="9" spans="1:35" ht="18.75" customHeight="1" x14ac:dyDescent="0.25">
      <c r="A9" s="57"/>
      <c r="B9" s="58"/>
      <c r="C9" s="58"/>
      <c r="D9" s="67" t="s">
        <v>29</v>
      </c>
      <c r="E9" s="67"/>
      <c r="F9" s="137" t="s">
        <v>87</v>
      </c>
      <c r="G9" s="138"/>
      <c r="H9" s="139" t="s">
        <v>30</v>
      </c>
      <c r="I9" s="140"/>
      <c r="J9" s="140"/>
      <c r="K9" s="140"/>
      <c r="L9" s="141"/>
      <c r="M9" s="142" t="s">
        <v>31</v>
      </c>
      <c r="N9" s="143"/>
      <c r="O9" s="68"/>
      <c r="P9" s="58"/>
      <c r="Q9" s="67" t="s">
        <v>32</v>
      </c>
      <c r="R9" s="58"/>
      <c r="S9" s="58"/>
      <c r="T9" s="59"/>
      <c r="U9" s="144" t="s">
        <v>33</v>
      </c>
      <c r="V9" s="144" t="s">
        <v>34</v>
      </c>
      <c r="X9" s="57"/>
      <c r="Y9" s="69" t="s">
        <v>35</v>
      </c>
      <c r="Z9" s="59"/>
      <c r="AA9" s="70"/>
      <c r="AB9" s="67" t="s">
        <v>36</v>
      </c>
      <c r="AC9" s="71"/>
      <c r="AD9" s="132" t="s">
        <v>37</v>
      </c>
    </row>
    <row r="10" spans="1:35" s="79" customFormat="1" ht="27.6" x14ac:dyDescent="0.25">
      <c r="A10" s="72" t="s">
        <v>38</v>
      </c>
      <c r="B10" s="72" t="s">
        <v>39</v>
      </c>
      <c r="C10" s="72" t="s">
        <v>40</v>
      </c>
      <c r="D10" s="72" t="s">
        <v>41</v>
      </c>
      <c r="E10" s="72" t="s">
        <v>42</v>
      </c>
      <c r="F10" s="72" t="s">
        <v>43</v>
      </c>
      <c r="G10" s="72" t="s">
        <v>44</v>
      </c>
      <c r="H10" s="72" t="s">
        <v>45</v>
      </c>
      <c r="I10" s="73" t="s">
        <v>46</v>
      </c>
      <c r="J10" s="73" t="s">
        <v>47</v>
      </c>
      <c r="K10" s="73" t="s">
        <v>48</v>
      </c>
      <c r="L10" s="72" t="s">
        <v>49</v>
      </c>
      <c r="M10" s="74" t="s">
        <v>50</v>
      </c>
      <c r="N10" s="75" t="s">
        <v>51</v>
      </c>
      <c r="O10" s="76" t="s">
        <v>52</v>
      </c>
      <c r="P10" s="72" t="s">
        <v>53</v>
      </c>
      <c r="Q10" s="77" t="s">
        <v>54</v>
      </c>
      <c r="R10" s="72" t="s">
        <v>55</v>
      </c>
      <c r="S10" s="78" t="s">
        <v>56</v>
      </c>
      <c r="T10" s="72" t="s">
        <v>57</v>
      </c>
      <c r="U10" s="145"/>
      <c r="V10" s="145"/>
      <c r="W10" s="55"/>
      <c r="X10" s="72" t="s">
        <v>58</v>
      </c>
      <c r="Y10" s="72" t="s">
        <v>59</v>
      </c>
      <c r="Z10" s="72" t="s">
        <v>60</v>
      </c>
      <c r="AA10" s="72" t="s">
        <v>61</v>
      </c>
      <c r="AB10" s="72" t="s">
        <v>14</v>
      </c>
      <c r="AC10" s="72" t="s">
        <v>15</v>
      </c>
      <c r="AD10" s="133"/>
      <c r="AG10" s="79" t="s">
        <v>62</v>
      </c>
      <c r="AH10" s="79" t="s">
        <v>63</v>
      </c>
      <c r="AI10" s="79" t="s">
        <v>47</v>
      </c>
    </row>
    <row r="11" spans="1:35" s="103" customFormat="1" ht="13.2" x14ac:dyDescent="0.25">
      <c r="A11" s="88"/>
      <c r="B11" s="89">
        <v>31375</v>
      </c>
      <c r="C11" s="90" t="s">
        <v>15</v>
      </c>
      <c r="D11" s="89">
        <v>39118</v>
      </c>
      <c r="E11" s="89"/>
      <c r="F11" s="91">
        <v>2539</v>
      </c>
      <c r="G11" s="91">
        <f>+F11*0.56</f>
        <v>1421.8400000000001</v>
      </c>
      <c r="H11" s="92">
        <f t="shared" ref="H11:H48" si="0">IF(B11&gt;0,YEARFRAC(B11,$V$8,1),0)</f>
        <v>31.101984941820671</v>
      </c>
      <c r="I11" s="92">
        <f t="shared" ref="I11:I48" si="1">IF(YEAR(B11)&gt;=$N$5,$N$6,IF(YEAR(B11)&gt;=$M$5,$M$6,IF(YEAR(B11)=$L$5,$L$6,IF(YEAR(B11)=$K$5,$K$6,$J$6))))</f>
        <v>65</v>
      </c>
      <c r="J11" s="92">
        <f>IF(H11&gt;I11,$F$5,I11)</f>
        <v>65</v>
      </c>
      <c r="K11" s="93">
        <f t="shared" ref="K11:K48" si="2">IF(D11=0,0,IF((YEARFRAC(E11,$V$8,1))&gt;1,YEARFRAC(D11,$V$8,1),0))</f>
        <v>9.9014508623049551</v>
      </c>
      <c r="L11" s="94">
        <f t="shared" ref="L11:L48" si="3">J11-H11</f>
        <v>33.898015058179325</v>
      </c>
      <c r="M11" s="94">
        <f t="shared" ref="M11:M48" si="4">IF((L11+K11)&gt;=$V$5,$V$6,IF((L11+K11)&gt;=$U$5,$U$6,IF((L11+K11)&gt;=$T$5,$T$6,IF((L11+K11)&gt;=$S$5,$S$6,IF((L11+K11)&gt;=$R$5,$R$6,IF((L11+K11)&gt;=$Q$5,$Q$6,0))))))</f>
        <v>6</v>
      </c>
      <c r="N11" s="95">
        <f t="shared" ref="N11:N48" si="5">IF(L11+K11&gt;$Q$5,1,0)</f>
        <v>1</v>
      </c>
      <c r="O11" s="96">
        <f>IF(C11="F",AC11,IF(C11="H",AB11,0))</f>
        <v>0.93074217056920239</v>
      </c>
      <c r="P11" s="97">
        <f t="shared" ref="P11:P48" si="6">IF(L11=0,0,(1-($F$6/(L11+K11)*L11))^L11)</f>
        <v>0.76845777409872129</v>
      </c>
      <c r="Q11" s="98">
        <f t="shared" ref="Q11:Q48" si="7">IF(L11=0,0,(1+$C$6)^L11)</f>
        <v>2.7236822236173301</v>
      </c>
      <c r="R11" s="98">
        <f t="shared" ref="R11:R48" si="8">IF(L11=0,0,(1+$C$5)^-L11)</f>
        <v>0.51105924392004309</v>
      </c>
      <c r="S11" s="98">
        <f t="shared" ref="S11:S48" si="9">IF((K11*L11)=0,0,K11/(K11+L11))</f>
        <v>0.22606327849477753</v>
      </c>
      <c r="T11" s="98">
        <f t="shared" ref="T11:T48" si="10">S11*R11*Q11*P11*O11*N11</f>
        <v>0.22506455609337095</v>
      </c>
      <c r="U11" s="93">
        <f t="shared" ref="U11:U48" si="11">IF(G11=0,0,(G11/F11)+1)</f>
        <v>1.56</v>
      </c>
      <c r="V11" s="93">
        <f t="shared" ref="V11:V48" si="12">F11*M11*T11*U11</f>
        <v>5348.6681781412044</v>
      </c>
      <c r="W11" s="99"/>
      <c r="X11" s="100">
        <f t="shared" ref="X11:X48" si="13">IF(YEARFRAC(D11,$V$8,1)&gt;1,0,1)</f>
        <v>0</v>
      </c>
      <c r="Y11" s="101">
        <f t="shared" ref="Y11:Y48" si="14">IF(YEARFRAC(E11,$V$8,1)&lt;1,IF(E11&lt;=$V$8,1,0),0)</f>
        <v>0</v>
      </c>
      <c r="Z11" s="100">
        <f t="shared" ref="Z11:Z48" si="15">IF(A11&lt;&gt;0,IF(E11=0,1,IF(E11&gt;$V$8,1,0)),0)</f>
        <v>0</v>
      </c>
      <c r="AA11" s="93">
        <f t="shared" ref="AA11:AA33" si="16">ROUND(H11,0)</f>
        <v>31</v>
      </c>
      <c r="AB11" s="102">
        <f>VLOOKUP(AA11,Table!$K$8:$M$73,2)</f>
        <v>0.86172478850952472</v>
      </c>
      <c r="AC11" s="102">
        <f>VLOOKUP(AA11,Table!$K$8:$M$73,3)</f>
        <v>0.93074217056920239</v>
      </c>
      <c r="AD11" s="93">
        <f t="shared" ref="AD11:AD48" si="17">IF(U11=0,0,V11/U11)</f>
        <v>3428.633447526413</v>
      </c>
      <c r="AG11" s="104">
        <f t="shared" ref="AG11:AG48" si="18">$F$6/(L11+K11)*L11</f>
        <v>7.7393672150522256E-3</v>
      </c>
      <c r="AH11" s="103">
        <f>YEAR(B11)</f>
        <v>1985</v>
      </c>
      <c r="AI11" s="103">
        <f>L11+H11</f>
        <v>65</v>
      </c>
    </row>
    <row r="12" spans="1:35" s="103" customFormat="1" ht="13.2" x14ac:dyDescent="0.25">
      <c r="A12" s="88"/>
      <c r="B12" s="89">
        <v>32234</v>
      </c>
      <c r="C12" s="90" t="s">
        <v>15</v>
      </c>
      <c r="D12" s="89">
        <v>41883</v>
      </c>
      <c r="E12" s="89"/>
      <c r="F12" s="91">
        <v>2668</v>
      </c>
      <c r="G12" s="91">
        <v>1598.33</v>
      </c>
      <c r="H12" s="92">
        <f t="shared" si="0"/>
        <v>28.748135561219673</v>
      </c>
      <c r="I12" s="92">
        <f t="shared" si="1"/>
        <v>65</v>
      </c>
      <c r="J12" s="92">
        <f t="shared" ref="J12:J48" si="19">IF(H12&gt;I12,$F$5,I12)</f>
        <v>65</v>
      </c>
      <c r="K12" s="93">
        <f t="shared" si="2"/>
        <v>2.332116788321168</v>
      </c>
      <c r="L12" s="93">
        <f t="shared" si="3"/>
        <v>36.251864438780331</v>
      </c>
      <c r="M12" s="93">
        <f t="shared" si="4"/>
        <v>6</v>
      </c>
      <c r="N12" s="105">
        <f t="shared" si="5"/>
        <v>1</v>
      </c>
      <c r="O12" s="96">
        <f t="shared" ref="O12:O48" si="20">IF(C12="F",AC12,IF(C12="H",AB12,0))</f>
        <v>0.93017961297081664</v>
      </c>
      <c r="P12" s="96">
        <f t="shared" si="6"/>
        <v>0.7101938897466642</v>
      </c>
      <c r="Q12" s="98">
        <f t="shared" si="7"/>
        <v>2.9199359813165331</v>
      </c>
      <c r="R12" s="98">
        <f t="shared" si="8"/>
        <v>0.48778421159755714</v>
      </c>
      <c r="S12" s="98">
        <f t="shared" si="9"/>
        <v>6.0442616706517641E-2</v>
      </c>
      <c r="T12" s="98">
        <f t="shared" si="10"/>
        <v>5.6870634653400469E-2</v>
      </c>
      <c r="U12" s="93">
        <f t="shared" si="11"/>
        <v>1.5990742128935533</v>
      </c>
      <c r="V12" s="93">
        <f t="shared" si="12"/>
        <v>1455.7733684450523</v>
      </c>
      <c r="W12" s="99"/>
      <c r="X12" s="100">
        <f t="shared" si="13"/>
        <v>0</v>
      </c>
      <c r="Y12" s="100">
        <f t="shared" si="14"/>
        <v>0</v>
      </c>
      <c r="Z12" s="100">
        <f t="shared" si="15"/>
        <v>0</v>
      </c>
      <c r="AA12" s="93">
        <f t="shared" si="16"/>
        <v>29</v>
      </c>
      <c r="AB12" s="98">
        <f>VLOOKUP(AA12,Table!$K$8:$M$73,2)</f>
        <v>0.86044179757527883</v>
      </c>
      <c r="AC12" s="98">
        <f>VLOOKUP(AA12,Table!$K$8:$M$73,3)</f>
        <v>0.93017961297081664</v>
      </c>
      <c r="AD12" s="93">
        <f t="shared" si="17"/>
        <v>910.3851195316347</v>
      </c>
      <c r="AG12" s="104">
        <f t="shared" si="18"/>
        <v>9.3955738329348244E-3</v>
      </c>
      <c r="AH12" s="103">
        <f t="shared" ref="AH12:AH48" si="21">YEAR(B12)</f>
        <v>1988</v>
      </c>
      <c r="AI12" s="103">
        <f t="shared" ref="AI12:AI48" si="22">L12+H12</f>
        <v>65</v>
      </c>
    </row>
    <row r="13" spans="1:35" s="103" customFormat="1" ht="13.2" x14ac:dyDescent="0.25">
      <c r="A13" s="88"/>
      <c r="B13" s="89">
        <v>31292</v>
      </c>
      <c r="C13" s="90" t="s">
        <v>14</v>
      </c>
      <c r="D13" s="89">
        <v>41883</v>
      </c>
      <c r="E13" s="89"/>
      <c r="F13" s="91">
        <v>2721</v>
      </c>
      <c r="G13" s="91">
        <v>1598.33</v>
      </c>
      <c r="H13" s="92">
        <f t="shared" si="0"/>
        <v>31.329226557152634</v>
      </c>
      <c r="I13" s="92">
        <f t="shared" si="1"/>
        <v>65</v>
      </c>
      <c r="J13" s="92">
        <f t="shared" si="19"/>
        <v>65</v>
      </c>
      <c r="K13" s="93">
        <f t="shared" si="2"/>
        <v>2.332116788321168</v>
      </c>
      <c r="L13" s="93">
        <f t="shared" si="3"/>
        <v>33.670773442847363</v>
      </c>
      <c r="M13" s="93">
        <f t="shared" si="4"/>
        <v>6</v>
      </c>
      <c r="N13" s="105">
        <f t="shared" si="5"/>
        <v>1</v>
      </c>
      <c r="O13" s="96">
        <f t="shared" si="20"/>
        <v>0.86172478850952472</v>
      </c>
      <c r="P13" s="96">
        <f t="shared" si="6"/>
        <v>0.72878322000504925</v>
      </c>
      <c r="Q13" s="98">
        <f t="shared" si="7"/>
        <v>2.7054485835874247</v>
      </c>
      <c r="R13" s="98">
        <f t="shared" si="8"/>
        <v>0.51336418301655595</v>
      </c>
      <c r="S13" s="98">
        <f t="shared" si="9"/>
        <v>6.4775821422864574E-2</v>
      </c>
      <c r="T13" s="98">
        <f t="shared" si="10"/>
        <v>5.6499516250769675E-2</v>
      </c>
      <c r="U13" s="93">
        <f t="shared" si="11"/>
        <v>1.5874053656743845</v>
      </c>
      <c r="V13" s="93">
        <f t="shared" si="12"/>
        <v>1464.2403331646221</v>
      </c>
      <c r="W13" s="99"/>
      <c r="X13" s="100">
        <f t="shared" si="13"/>
        <v>0</v>
      </c>
      <c r="Y13" s="100">
        <f t="shared" si="14"/>
        <v>0</v>
      </c>
      <c r="Z13" s="100">
        <f t="shared" si="15"/>
        <v>0</v>
      </c>
      <c r="AA13" s="93">
        <f t="shared" si="16"/>
        <v>31</v>
      </c>
      <c r="AB13" s="98">
        <f>VLOOKUP(AA13,Table!$K$8:$M$73,2)</f>
        <v>0.86172478850952472</v>
      </c>
      <c r="AC13" s="98">
        <f>VLOOKUP(AA13,Table!$K$8:$M$73,3)</f>
        <v>0.93074217056920239</v>
      </c>
      <c r="AD13" s="93">
        <f t="shared" si="17"/>
        <v>922.41110231006587</v>
      </c>
      <c r="AG13" s="104">
        <f t="shared" si="18"/>
        <v>9.352241785771355E-3</v>
      </c>
      <c r="AH13" s="103">
        <f t="shared" si="21"/>
        <v>1985</v>
      </c>
      <c r="AI13" s="103">
        <f t="shared" si="22"/>
        <v>65</v>
      </c>
    </row>
    <row r="14" spans="1:35" s="103" customFormat="1" ht="13.2" x14ac:dyDescent="0.25">
      <c r="A14" s="88"/>
      <c r="B14" s="89">
        <v>30384</v>
      </c>
      <c r="C14" s="106" t="s">
        <v>15</v>
      </c>
      <c r="D14" s="107">
        <v>41393</v>
      </c>
      <c r="E14" s="107"/>
      <c r="F14" s="108">
        <v>2639</v>
      </c>
      <c r="G14" s="91">
        <v>1580.41</v>
      </c>
      <c r="H14" s="92">
        <f t="shared" si="0"/>
        <v>33.813833642000162</v>
      </c>
      <c r="I14" s="92">
        <f t="shared" si="1"/>
        <v>65</v>
      </c>
      <c r="J14" s="92">
        <f t="shared" si="19"/>
        <v>65</v>
      </c>
      <c r="K14" s="93">
        <f t="shared" si="2"/>
        <v>3.6741957563312799</v>
      </c>
      <c r="L14" s="93">
        <f t="shared" si="3"/>
        <v>31.186166357999838</v>
      </c>
      <c r="M14" s="93">
        <f t="shared" si="4"/>
        <v>6</v>
      </c>
      <c r="N14" s="105">
        <f t="shared" si="5"/>
        <v>1</v>
      </c>
      <c r="O14" s="96">
        <f t="shared" si="20"/>
        <v>0.93171888401190661</v>
      </c>
      <c r="P14" s="96">
        <f t="shared" si="6"/>
        <v>0.75559659786876532</v>
      </c>
      <c r="Q14" s="98">
        <f t="shared" si="7"/>
        <v>2.5138758463599964</v>
      </c>
      <c r="R14" s="98">
        <f t="shared" si="8"/>
        <v>0.53925429488922738</v>
      </c>
      <c r="S14" s="98">
        <f t="shared" si="9"/>
        <v>0.10539752123862235</v>
      </c>
      <c r="T14" s="98">
        <f t="shared" si="10"/>
        <v>0.10058720178362648</v>
      </c>
      <c r="U14" s="93">
        <f t="shared" si="11"/>
        <v>1.5988669950738916</v>
      </c>
      <c r="V14" s="93">
        <f t="shared" si="12"/>
        <v>2546.5118704671086</v>
      </c>
      <c r="W14" s="99"/>
      <c r="X14" s="100">
        <f t="shared" si="13"/>
        <v>0</v>
      </c>
      <c r="Y14" s="100">
        <f t="shared" si="14"/>
        <v>0</v>
      </c>
      <c r="Z14" s="100">
        <f t="shared" si="15"/>
        <v>0</v>
      </c>
      <c r="AA14" s="93">
        <f t="shared" si="16"/>
        <v>34</v>
      </c>
      <c r="AB14" s="98">
        <f>VLOOKUP(AA14,Table!$K$8:$M$73,2)</f>
        <v>0.8638804148871263</v>
      </c>
      <c r="AC14" s="98">
        <f>VLOOKUP(AA14,Table!$K$8:$M$73,3)</f>
        <v>0.93171888401190661</v>
      </c>
      <c r="AD14" s="93">
        <f t="shared" si="17"/>
        <v>1592.6977530419417</v>
      </c>
      <c r="AG14" s="104">
        <f t="shared" si="18"/>
        <v>8.9460247876137766E-3</v>
      </c>
      <c r="AH14" s="103">
        <f t="shared" si="21"/>
        <v>1983</v>
      </c>
      <c r="AI14" s="103">
        <f t="shared" si="22"/>
        <v>65</v>
      </c>
    </row>
    <row r="15" spans="1:35" s="103" customFormat="1" ht="13.2" x14ac:dyDescent="0.25">
      <c r="A15" s="88"/>
      <c r="B15" s="89">
        <v>19934</v>
      </c>
      <c r="C15" s="90" t="s">
        <v>15</v>
      </c>
      <c r="D15" s="89">
        <v>37515</v>
      </c>
      <c r="E15" s="89">
        <v>42552</v>
      </c>
      <c r="F15" s="91"/>
      <c r="G15" s="91"/>
      <c r="H15" s="92">
        <f t="shared" si="0"/>
        <v>62.425057581156835</v>
      </c>
      <c r="I15" s="92">
        <f t="shared" si="1"/>
        <v>63</v>
      </c>
      <c r="J15" s="92">
        <f t="shared" si="19"/>
        <v>63</v>
      </c>
      <c r="K15" s="93">
        <f t="shared" si="2"/>
        <v>0</v>
      </c>
      <c r="L15" s="93">
        <f t="shared" si="3"/>
        <v>0.57494241884316466</v>
      </c>
      <c r="M15" s="93">
        <f t="shared" si="4"/>
        <v>0</v>
      </c>
      <c r="N15" s="105">
        <f t="shared" si="5"/>
        <v>0</v>
      </c>
      <c r="O15" s="96">
        <f t="shared" si="20"/>
        <v>0.98387870134575017</v>
      </c>
      <c r="P15" s="96">
        <f t="shared" si="6"/>
        <v>0.99423829823209187</v>
      </c>
      <c r="Q15" s="98">
        <f t="shared" si="7"/>
        <v>1.0171398391728859</v>
      </c>
      <c r="R15" s="98">
        <f t="shared" si="8"/>
        <v>0.98867919761682632</v>
      </c>
      <c r="S15" s="98">
        <f t="shared" si="9"/>
        <v>0</v>
      </c>
      <c r="T15" s="98">
        <f t="shared" si="10"/>
        <v>0</v>
      </c>
      <c r="U15" s="93">
        <f t="shared" si="11"/>
        <v>0</v>
      </c>
      <c r="V15" s="93">
        <f t="shared" si="12"/>
        <v>0</v>
      </c>
      <c r="W15" s="99"/>
      <c r="X15" s="100">
        <f t="shared" si="13"/>
        <v>0</v>
      </c>
      <c r="Y15" s="100">
        <f t="shared" si="14"/>
        <v>1</v>
      </c>
      <c r="Z15" s="100">
        <f t="shared" si="15"/>
        <v>0</v>
      </c>
      <c r="AA15" s="93">
        <f t="shared" si="16"/>
        <v>62</v>
      </c>
      <c r="AB15" s="98">
        <f>VLOOKUP(AA15,Table!$K$8:$M$73,2)</f>
        <v>0.9641592518612675</v>
      </c>
      <c r="AC15" s="98">
        <f>VLOOKUP(AA15,Table!$K$8:$M$73,3)</f>
        <v>0.98387870134575017</v>
      </c>
      <c r="AD15" s="93">
        <f t="shared" si="17"/>
        <v>0</v>
      </c>
      <c r="AG15" s="104">
        <f t="shared" si="18"/>
        <v>0.01</v>
      </c>
      <c r="AH15" s="103">
        <f t="shared" si="21"/>
        <v>1954</v>
      </c>
      <c r="AI15" s="103">
        <f t="shared" si="22"/>
        <v>63</v>
      </c>
    </row>
    <row r="16" spans="1:35" s="103" customFormat="1" ht="13.2" x14ac:dyDescent="0.25">
      <c r="A16" s="88"/>
      <c r="B16" s="107">
        <v>31610</v>
      </c>
      <c r="C16" s="106" t="s">
        <v>15</v>
      </c>
      <c r="D16" s="107">
        <v>41904</v>
      </c>
      <c r="E16" s="107"/>
      <c r="F16" s="108">
        <v>2586</v>
      </c>
      <c r="G16" s="91">
        <v>1547.63</v>
      </c>
      <c r="H16" s="92">
        <f t="shared" si="0"/>
        <v>30.457917513026583</v>
      </c>
      <c r="I16" s="92">
        <f t="shared" si="1"/>
        <v>65</v>
      </c>
      <c r="J16" s="92">
        <f t="shared" si="19"/>
        <v>65</v>
      </c>
      <c r="K16" s="93">
        <f t="shared" si="2"/>
        <v>2.2746350364963503</v>
      </c>
      <c r="L16" s="93">
        <f>J16-H16</f>
        <v>34.542082486973413</v>
      </c>
      <c r="M16" s="93">
        <f t="shared" si="4"/>
        <v>6</v>
      </c>
      <c r="N16" s="105">
        <f t="shared" si="5"/>
        <v>1</v>
      </c>
      <c r="O16" s="96">
        <f t="shared" si="20"/>
        <v>0.93047955903544044</v>
      </c>
      <c r="P16" s="96">
        <f t="shared" si="6"/>
        <v>0.72208698634416768</v>
      </c>
      <c r="Q16" s="98">
        <f t="shared" si="7"/>
        <v>2.7760320424397622</v>
      </c>
      <c r="R16" s="98">
        <f t="shared" si="8"/>
        <v>0.50458246911376947</v>
      </c>
      <c r="S16" s="98">
        <f t="shared" si="9"/>
        <v>6.1782668024283421E-2</v>
      </c>
      <c r="T16" s="98">
        <f t="shared" si="10"/>
        <v>5.8145973524966463E-2</v>
      </c>
      <c r="U16" s="93">
        <f t="shared" si="11"/>
        <v>1.5984648105181747</v>
      </c>
      <c r="V16" s="93">
        <f t="shared" si="12"/>
        <v>1442.1236432520427</v>
      </c>
      <c r="W16" s="99"/>
      <c r="X16" s="100">
        <f t="shared" si="13"/>
        <v>0</v>
      </c>
      <c r="Y16" s="100">
        <f t="shared" si="14"/>
        <v>0</v>
      </c>
      <c r="Z16" s="100">
        <f t="shared" si="15"/>
        <v>0</v>
      </c>
      <c r="AA16" s="93">
        <f t="shared" si="16"/>
        <v>30</v>
      </c>
      <c r="AB16" s="98">
        <f>VLOOKUP(AA16,Table!$K$8:$M$73,2)</f>
        <v>0.8610784512467059</v>
      </c>
      <c r="AC16" s="98">
        <f>VLOOKUP(AA16,Table!$K$8:$M$73,3)</f>
        <v>0.93047955903544044</v>
      </c>
      <c r="AD16" s="93">
        <f t="shared" si="17"/>
        <v>902.19292521337968</v>
      </c>
      <c r="AG16" s="104">
        <f t="shared" si="18"/>
        <v>9.3821733197571658E-3</v>
      </c>
      <c r="AH16" s="103">
        <f t="shared" si="21"/>
        <v>1986</v>
      </c>
      <c r="AI16" s="103">
        <f t="shared" si="22"/>
        <v>65</v>
      </c>
    </row>
    <row r="17" spans="1:35" s="103" customFormat="1" ht="13.2" x14ac:dyDescent="0.25">
      <c r="A17" s="88"/>
      <c r="B17" s="107">
        <v>23441</v>
      </c>
      <c r="C17" s="106" t="s">
        <v>15</v>
      </c>
      <c r="D17" s="107">
        <v>39013</v>
      </c>
      <c r="E17" s="107"/>
      <c r="F17" s="108">
        <v>2687</v>
      </c>
      <c r="G17" s="91">
        <v>1560.97</v>
      </c>
      <c r="H17" s="92">
        <f t="shared" si="0"/>
        <v>52.822046593315775</v>
      </c>
      <c r="I17" s="92">
        <f t="shared" si="1"/>
        <v>65</v>
      </c>
      <c r="J17" s="92">
        <f t="shared" si="19"/>
        <v>65</v>
      </c>
      <c r="K17" s="93">
        <f t="shared" si="2"/>
        <v>10.189646590343456</v>
      </c>
      <c r="L17" s="93">
        <f t="shared" si="3"/>
        <v>12.177953406684225</v>
      </c>
      <c r="M17" s="93">
        <f t="shared" si="4"/>
        <v>4</v>
      </c>
      <c r="N17" s="105">
        <f t="shared" si="5"/>
        <v>1</v>
      </c>
      <c r="O17" s="96">
        <f t="shared" si="20"/>
        <v>0.95214427865826623</v>
      </c>
      <c r="P17" s="96">
        <f t="shared" si="6"/>
        <v>0.93567831224250597</v>
      </c>
      <c r="Q17" s="98">
        <f t="shared" si="7"/>
        <v>1.4332802757890739</v>
      </c>
      <c r="R17" s="98">
        <f t="shared" si="8"/>
        <v>0.78571945908952134</v>
      </c>
      <c r="S17" s="98">
        <f t="shared" si="9"/>
        <v>0.45555386325298675</v>
      </c>
      <c r="T17" s="98">
        <f t="shared" si="10"/>
        <v>0.45705418788189001</v>
      </c>
      <c r="U17" s="93">
        <f t="shared" si="11"/>
        <v>1.5809341272794939</v>
      </c>
      <c r="V17" s="93">
        <f t="shared" si="12"/>
        <v>7766.2099139865286</v>
      </c>
      <c r="W17" s="99"/>
      <c r="X17" s="100">
        <f t="shared" si="13"/>
        <v>0</v>
      </c>
      <c r="Y17" s="100">
        <f t="shared" si="14"/>
        <v>0</v>
      </c>
      <c r="Z17" s="100">
        <f t="shared" si="15"/>
        <v>0</v>
      </c>
      <c r="AA17" s="93">
        <f t="shared" si="16"/>
        <v>53</v>
      </c>
      <c r="AB17" s="98">
        <f>VLOOKUP(AA17,Table!$K$8:$M$73,2)</f>
        <v>0.90108188375053033</v>
      </c>
      <c r="AC17" s="98">
        <f>VLOOKUP(AA17,Table!$K$8:$M$73,3)</f>
        <v>0.95214427865826623</v>
      </c>
      <c r="AD17" s="93">
        <f t="shared" si="17"/>
        <v>4912.4184113545534</v>
      </c>
      <c r="AG17" s="104">
        <f t="shared" si="18"/>
        <v>5.4444613674701318E-3</v>
      </c>
      <c r="AH17" s="103">
        <f t="shared" si="21"/>
        <v>1964</v>
      </c>
      <c r="AI17" s="103">
        <f t="shared" si="22"/>
        <v>65</v>
      </c>
    </row>
    <row r="18" spans="1:35" s="103" customFormat="1" ht="13.2" x14ac:dyDescent="0.25">
      <c r="A18" s="88"/>
      <c r="B18" s="89">
        <v>33651</v>
      </c>
      <c r="C18" s="90" t="s">
        <v>15</v>
      </c>
      <c r="D18" s="89">
        <v>42248</v>
      </c>
      <c r="E18" s="89"/>
      <c r="F18" s="91">
        <v>2400</v>
      </c>
      <c r="G18" s="91">
        <v>1431.82</v>
      </c>
      <c r="H18" s="92">
        <f t="shared" si="0"/>
        <v>24.868593955321948</v>
      </c>
      <c r="I18" s="92">
        <f t="shared" si="1"/>
        <v>65</v>
      </c>
      <c r="J18" s="92">
        <f t="shared" si="19"/>
        <v>65</v>
      </c>
      <c r="K18" s="93">
        <f t="shared" si="2"/>
        <v>1.3324213406292749</v>
      </c>
      <c r="L18" s="93">
        <f t="shared" si="3"/>
        <v>40.131406044678052</v>
      </c>
      <c r="M18" s="93">
        <f t="shared" si="4"/>
        <v>6</v>
      </c>
      <c r="N18" s="105">
        <f t="shared" si="5"/>
        <v>1</v>
      </c>
      <c r="O18" s="96">
        <f t="shared" si="20"/>
        <v>0.92927158182879455</v>
      </c>
      <c r="P18" s="96">
        <f t="shared" si="6"/>
        <v>0.67684707777094144</v>
      </c>
      <c r="Q18" s="98">
        <f t="shared" si="7"/>
        <v>3.2747328555960165</v>
      </c>
      <c r="R18" s="98">
        <f t="shared" si="8"/>
        <v>0.45171344258747603</v>
      </c>
      <c r="S18" s="98">
        <f t="shared" si="9"/>
        <v>3.2134547740795806E-2</v>
      </c>
      <c r="T18" s="98">
        <f t="shared" si="10"/>
        <v>2.9898148767241853E-2</v>
      </c>
      <c r="U18" s="93">
        <f t="shared" si="11"/>
        <v>1.5965916666666666</v>
      </c>
      <c r="V18" s="93">
        <f t="shared" si="12"/>
        <v>687.38594645575608</v>
      </c>
      <c r="W18" s="99"/>
      <c r="X18" s="100">
        <f t="shared" si="13"/>
        <v>0</v>
      </c>
      <c r="Y18" s="100">
        <f t="shared" si="14"/>
        <v>0</v>
      </c>
      <c r="Z18" s="100">
        <f t="shared" si="15"/>
        <v>0</v>
      </c>
      <c r="AA18" s="93">
        <f t="shared" si="16"/>
        <v>25</v>
      </c>
      <c r="AB18" s="98">
        <f>VLOOKUP(AA18,Table!$K$8:$M$73,2)</f>
        <v>0.85814721658232063</v>
      </c>
      <c r="AC18" s="98">
        <f>VLOOKUP(AA18,Table!$K$8:$M$73,3)</f>
        <v>0.92927158182879455</v>
      </c>
      <c r="AD18" s="93">
        <f t="shared" si="17"/>
        <v>430.53334224828268</v>
      </c>
      <c r="AG18" s="104">
        <f t="shared" si="18"/>
        <v>9.6786545225920426E-3</v>
      </c>
      <c r="AH18" s="103">
        <f t="shared" si="21"/>
        <v>1992</v>
      </c>
      <c r="AI18" s="103">
        <f t="shared" si="22"/>
        <v>65</v>
      </c>
    </row>
    <row r="19" spans="1:35" s="103" customFormat="1" ht="13.2" x14ac:dyDescent="0.25">
      <c r="A19" s="88"/>
      <c r="B19" s="89">
        <v>32469</v>
      </c>
      <c r="C19" s="90" t="s">
        <v>15</v>
      </c>
      <c r="D19" s="89">
        <v>42278</v>
      </c>
      <c r="E19" s="89"/>
      <c r="F19" s="91">
        <v>2544</v>
      </c>
      <c r="G19" s="91">
        <v>1520.76</v>
      </c>
      <c r="H19" s="92">
        <f t="shared" si="0"/>
        <v>28.104786179552534</v>
      </c>
      <c r="I19" s="92">
        <f t="shared" si="1"/>
        <v>65</v>
      </c>
      <c r="J19" s="92">
        <f t="shared" si="19"/>
        <v>65</v>
      </c>
      <c r="K19" s="93">
        <f t="shared" si="2"/>
        <v>1.250341997264022</v>
      </c>
      <c r="L19" s="93">
        <f t="shared" si="3"/>
        <v>36.895213820447466</v>
      </c>
      <c r="M19" s="93">
        <f t="shared" si="4"/>
        <v>6</v>
      </c>
      <c r="N19" s="105">
        <f t="shared" si="5"/>
        <v>1</v>
      </c>
      <c r="O19" s="96">
        <f t="shared" si="20"/>
        <v>0.92993604914648276</v>
      </c>
      <c r="P19" s="96">
        <f t="shared" si="6"/>
        <v>0.6986568491208468</v>
      </c>
      <c r="Q19" s="98">
        <f t="shared" si="7"/>
        <v>2.9759946789383571</v>
      </c>
      <c r="R19" s="98">
        <f t="shared" si="8"/>
        <v>0.48160925484603045</v>
      </c>
      <c r="S19" s="98">
        <f t="shared" si="9"/>
        <v>3.2778182686316278E-2</v>
      </c>
      <c r="T19" s="98">
        <f t="shared" si="10"/>
        <v>3.0523114805357479E-2</v>
      </c>
      <c r="U19" s="93">
        <f t="shared" si="11"/>
        <v>1.5977830188679245</v>
      </c>
      <c r="V19" s="93">
        <f t="shared" si="12"/>
        <v>744.41481681734922</v>
      </c>
      <c r="W19" s="99"/>
      <c r="X19" s="100">
        <f t="shared" si="13"/>
        <v>0</v>
      </c>
      <c r="Y19" s="100">
        <f t="shared" si="14"/>
        <v>0</v>
      </c>
      <c r="Z19" s="100">
        <f t="shared" si="15"/>
        <v>0</v>
      </c>
      <c r="AA19" s="93">
        <f t="shared" si="16"/>
        <v>28</v>
      </c>
      <c r="AB19" s="98">
        <f>VLOOKUP(AA19,Table!$K$8:$M$73,2)</f>
        <v>0.8598495966640014</v>
      </c>
      <c r="AC19" s="98">
        <f>VLOOKUP(AA19,Table!$K$8:$M$73,3)</f>
        <v>0.92993604914648276</v>
      </c>
      <c r="AD19" s="93">
        <f t="shared" si="17"/>
        <v>465.90482438897658</v>
      </c>
      <c r="AG19" s="104">
        <f t="shared" si="18"/>
        <v>9.672218173136838E-3</v>
      </c>
      <c r="AH19" s="103">
        <f t="shared" si="21"/>
        <v>1988</v>
      </c>
      <c r="AI19" s="103">
        <f t="shared" si="22"/>
        <v>65</v>
      </c>
    </row>
    <row r="20" spans="1:35" s="103" customFormat="1" ht="13.2" x14ac:dyDescent="0.25">
      <c r="A20" s="88"/>
      <c r="B20" s="107">
        <v>31372</v>
      </c>
      <c r="C20" s="106" t="s">
        <v>15</v>
      </c>
      <c r="D20" s="107">
        <v>42219</v>
      </c>
      <c r="E20" s="107"/>
      <c r="F20" s="108">
        <v>2623</v>
      </c>
      <c r="G20" s="91">
        <f>+F20*0.56</f>
        <v>1468.88</v>
      </c>
      <c r="H20" s="92">
        <f t="shared" si="0"/>
        <v>31.110198494182068</v>
      </c>
      <c r="I20" s="92">
        <f t="shared" si="1"/>
        <v>65</v>
      </c>
      <c r="J20" s="92">
        <f t="shared" si="19"/>
        <v>65</v>
      </c>
      <c r="K20" s="93">
        <f t="shared" si="2"/>
        <v>1.411764705882353</v>
      </c>
      <c r="L20" s="93">
        <f t="shared" si="3"/>
        <v>33.889801505817928</v>
      </c>
      <c r="M20" s="93">
        <f t="shared" si="4"/>
        <v>6</v>
      </c>
      <c r="N20" s="105">
        <f t="shared" si="5"/>
        <v>1</v>
      </c>
      <c r="O20" s="96">
        <f t="shared" si="20"/>
        <v>0.93074217056920239</v>
      </c>
      <c r="P20" s="96">
        <f t="shared" si="6"/>
        <v>0.72114381790882787</v>
      </c>
      <c r="Q20" s="98">
        <f t="shared" si="7"/>
        <v>2.7230210407677635</v>
      </c>
      <c r="R20" s="98">
        <f t="shared" si="8"/>
        <v>0.51114237442363653</v>
      </c>
      <c r="S20" s="98">
        <f t="shared" si="9"/>
        <v>3.9991560074590697E-2</v>
      </c>
      <c r="T20" s="98">
        <f t="shared" si="10"/>
        <v>3.736048504618978E-2</v>
      </c>
      <c r="U20" s="93">
        <f t="shared" si="11"/>
        <v>1.56</v>
      </c>
      <c r="V20" s="93">
        <f t="shared" si="12"/>
        <v>917.24772930481834</v>
      </c>
      <c r="W20" s="99"/>
      <c r="X20" s="100">
        <f t="shared" si="13"/>
        <v>0</v>
      </c>
      <c r="Y20" s="100">
        <f t="shared" si="14"/>
        <v>0</v>
      </c>
      <c r="Z20" s="100">
        <f t="shared" si="15"/>
        <v>0</v>
      </c>
      <c r="AA20" s="93">
        <f t="shared" si="16"/>
        <v>31</v>
      </c>
      <c r="AB20" s="98">
        <f>VLOOKUP(AA20,Table!$K$8:$M$73,2)</f>
        <v>0.86172478850952472</v>
      </c>
      <c r="AC20" s="98">
        <f>VLOOKUP(AA20,Table!$K$8:$M$73,3)</f>
        <v>0.93074217056920239</v>
      </c>
      <c r="AD20" s="93">
        <f t="shared" si="17"/>
        <v>587.97931365693478</v>
      </c>
      <c r="AG20" s="104">
        <f t="shared" si="18"/>
        <v>9.6000843992540934E-3</v>
      </c>
      <c r="AH20" s="103">
        <f t="shared" si="21"/>
        <v>1985</v>
      </c>
      <c r="AI20" s="103">
        <f t="shared" si="22"/>
        <v>65</v>
      </c>
    </row>
    <row r="21" spans="1:35" s="103" customFormat="1" ht="13.2" x14ac:dyDescent="0.25">
      <c r="A21" s="88"/>
      <c r="B21" s="107">
        <v>26661</v>
      </c>
      <c r="C21" s="106" t="s">
        <v>15</v>
      </c>
      <c r="D21" s="107">
        <v>40714</v>
      </c>
      <c r="E21" s="107"/>
      <c r="F21" s="108">
        <v>2369</v>
      </c>
      <c r="G21" s="91">
        <v>1365.26</v>
      </c>
      <c r="H21" s="92">
        <f t="shared" si="0"/>
        <v>44.00620551195474</v>
      </c>
      <c r="I21" s="92">
        <f t="shared" si="1"/>
        <v>65</v>
      </c>
      <c r="J21" s="92">
        <f t="shared" si="19"/>
        <v>65</v>
      </c>
      <c r="K21" s="93">
        <f t="shared" si="2"/>
        <v>5.5319343065693429</v>
      </c>
      <c r="L21" s="93">
        <f t="shared" si="3"/>
        <v>20.99379448804526</v>
      </c>
      <c r="M21" s="93">
        <f t="shared" si="4"/>
        <v>6</v>
      </c>
      <c r="N21" s="105">
        <f t="shared" si="5"/>
        <v>1</v>
      </c>
      <c r="O21" s="96">
        <f t="shared" si="20"/>
        <v>0.9377177036894111</v>
      </c>
      <c r="P21" s="96">
        <f t="shared" si="6"/>
        <v>0.84635494873544848</v>
      </c>
      <c r="Q21" s="98">
        <f t="shared" si="7"/>
        <v>1.8599533738191791</v>
      </c>
      <c r="R21" s="98">
        <f t="shared" si="8"/>
        <v>0.65985689859621477</v>
      </c>
      <c r="S21" s="98">
        <f t="shared" si="9"/>
        <v>0.20854975746010287</v>
      </c>
      <c r="T21" s="98">
        <f t="shared" si="10"/>
        <v>0.20313565608039738</v>
      </c>
      <c r="U21" s="93">
        <f t="shared" si="11"/>
        <v>1.576302237230899</v>
      </c>
      <c r="V21" s="93">
        <f t="shared" si="12"/>
        <v>4551.3681304487081</v>
      </c>
      <c r="W21" s="99"/>
      <c r="X21" s="100">
        <f t="shared" si="13"/>
        <v>0</v>
      </c>
      <c r="Y21" s="100">
        <f t="shared" si="14"/>
        <v>0</v>
      </c>
      <c r="Z21" s="100">
        <f t="shared" si="15"/>
        <v>0</v>
      </c>
      <c r="AA21" s="93">
        <f t="shared" si="16"/>
        <v>44</v>
      </c>
      <c r="AB21" s="98">
        <f>VLOOKUP(AA21,Table!$K$8:$M$73,2)</f>
        <v>0.87559779023746698</v>
      </c>
      <c r="AC21" s="98">
        <f>VLOOKUP(AA21,Table!$K$8:$M$73,3)</f>
        <v>0.9377177036894111</v>
      </c>
      <c r="AD21" s="93">
        <f t="shared" si="17"/>
        <v>2887.3702155267683</v>
      </c>
      <c r="AG21" s="104">
        <f t="shared" si="18"/>
        <v>7.9145024253989716E-3</v>
      </c>
      <c r="AH21" s="103">
        <f t="shared" si="21"/>
        <v>1972</v>
      </c>
      <c r="AI21" s="103">
        <f t="shared" si="22"/>
        <v>65</v>
      </c>
    </row>
    <row r="22" spans="1:35" s="103" customFormat="1" ht="13.2" x14ac:dyDescent="0.25">
      <c r="A22" s="88"/>
      <c r="B22" s="107">
        <v>31381</v>
      </c>
      <c r="C22" s="106" t="s">
        <v>14</v>
      </c>
      <c r="D22" s="107">
        <v>40239</v>
      </c>
      <c r="E22" s="107"/>
      <c r="F22" s="108">
        <v>2753</v>
      </c>
      <c r="G22" s="91">
        <v>1650.86</v>
      </c>
      <c r="H22" s="92">
        <f t="shared" si="0"/>
        <v>31.085557837097877</v>
      </c>
      <c r="I22" s="92">
        <f t="shared" si="1"/>
        <v>65</v>
      </c>
      <c r="J22" s="92">
        <f t="shared" si="19"/>
        <v>65</v>
      </c>
      <c r="K22" s="93">
        <f t="shared" si="2"/>
        <v>6.8330074305827146</v>
      </c>
      <c r="L22" s="93">
        <f t="shared" si="3"/>
        <v>33.91444216290212</v>
      </c>
      <c r="M22" s="93">
        <f t="shared" si="4"/>
        <v>6</v>
      </c>
      <c r="N22" s="105">
        <f t="shared" si="5"/>
        <v>1</v>
      </c>
      <c r="O22" s="96">
        <f t="shared" si="20"/>
        <v>0.86172478850952472</v>
      </c>
      <c r="P22" s="96">
        <f t="shared" si="6"/>
        <v>0.75317778289604154</v>
      </c>
      <c r="Q22" s="98">
        <f t="shared" si="7"/>
        <v>2.7250050709853206</v>
      </c>
      <c r="R22" s="98">
        <f t="shared" si="8"/>
        <v>0.51089302347086718</v>
      </c>
      <c r="S22" s="98">
        <f t="shared" si="9"/>
        <v>0.16769165920203394</v>
      </c>
      <c r="T22" s="98">
        <f t="shared" si="10"/>
        <v>0.15152170050268096</v>
      </c>
      <c r="U22" s="93">
        <f t="shared" si="11"/>
        <v>1.5996585543043951</v>
      </c>
      <c r="V22" s="93">
        <f t="shared" si="12"/>
        <v>4003.6821358544189</v>
      </c>
      <c r="W22" s="99"/>
      <c r="X22" s="100">
        <f t="shared" si="13"/>
        <v>0</v>
      </c>
      <c r="Y22" s="100">
        <f t="shared" si="14"/>
        <v>0</v>
      </c>
      <c r="Z22" s="100">
        <f t="shared" si="15"/>
        <v>0</v>
      </c>
      <c r="AA22" s="93">
        <f t="shared" si="16"/>
        <v>31</v>
      </c>
      <c r="AB22" s="98">
        <f>VLOOKUP(AA22,Table!$K$8:$M$73,2)</f>
        <v>0.86172478850952472</v>
      </c>
      <c r="AC22" s="98">
        <f>VLOOKUP(AA22,Table!$K$8:$M$73,3)</f>
        <v>0.93074217056920239</v>
      </c>
      <c r="AD22" s="93">
        <f t="shared" si="17"/>
        <v>2502.835448903284</v>
      </c>
      <c r="AG22" s="104">
        <f t="shared" si="18"/>
        <v>8.3230834079796624E-3</v>
      </c>
      <c r="AH22" s="103">
        <f t="shared" si="21"/>
        <v>1985</v>
      </c>
      <c r="AI22" s="103">
        <f t="shared" si="22"/>
        <v>65</v>
      </c>
    </row>
    <row r="23" spans="1:35" s="103" customFormat="1" ht="13.2" x14ac:dyDescent="0.25">
      <c r="A23" s="88"/>
      <c r="B23" s="107">
        <v>25452</v>
      </c>
      <c r="C23" s="106" t="s">
        <v>15</v>
      </c>
      <c r="D23" s="107">
        <v>42142</v>
      </c>
      <c r="E23" s="107"/>
      <c r="F23" s="108">
        <v>7729</v>
      </c>
      <c r="G23" s="91">
        <v>4669.72</v>
      </c>
      <c r="H23" s="92">
        <f t="shared" si="0"/>
        <v>47.318275154004105</v>
      </c>
      <c r="I23" s="92">
        <f t="shared" si="1"/>
        <v>65</v>
      </c>
      <c r="J23" s="92">
        <f t="shared" si="19"/>
        <v>65</v>
      </c>
      <c r="K23" s="93">
        <f t="shared" si="2"/>
        <v>1.6224350205198359</v>
      </c>
      <c r="L23" s="93">
        <f t="shared" si="3"/>
        <v>17.681724845995895</v>
      </c>
      <c r="M23" s="93">
        <f t="shared" si="4"/>
        <v>4</v>
      </c>
      <c r="N23" s="105">
        <f t="shared" si="5"/>
        <v>1</v>
      </c>
      <c r="O23" s="96">
        <f t="shared" si="20"/>
        <v>0.94119685649342044</v>
      </c>
      <c r="P23" s="96">
        <f t="shared" si="6"/>
        <v>0.84984374813726593</v>
      </c>
      <c r="Q23" s="98">
        <f t="shared" si="7"/>
        <v>1.6864919596179824</v>
      </c>
      <c r="R23" s="98">
        <f t="shared" si="8"/>
        <v>0.70458619420013768</v>
      </c>
      <c r="S23" s="98">
        <f t="shared" si="9"/>
        <v>8.4045875694080341E-2</v>
      </c>
      <c r="T23" s="98">
        <f t="shared" si="10"/>
        <v>7.9882999328331442E-2</v>
      </c>
      <c r="U23" s="93">
        <f t="shared" si="11"/>
        <v>1.6041816535127442</v>
      </c>
      <c r="V23" s="93">
        <f t="shared" si="12"/>
        <v>3961.7877657286786</v>
      </c>
      <c r="W23" s="99"/>
      <c r="X23" s="100">
        <f t="shared" si="13"/>
        <v>0</v>
      </c>
      <c r="Y23" s="100">
        <f t="shared" si="14"/>
        <v>0</v>
      </c>
      <c r="Z23" s="100">
        <f t="shared" si="15"/>
        <v>0</v>
      </c>
      <c r="AA23" s="93">
        <f t="shared" si="16"/>
        <v>47</v>
      </c>
      <c r="AB23" s="98">
        <f>VLOOKUP(AA23,Table!$K$8:$M$73,2)</f>
        <v>0.88167713144102533</v>
      </c>
      <c r="AC23" s="98">
        <f>VLOOKUP(AA23,Table!$K$8:$M$73,3)</f>
        <v>0.94119685649342044</v>
      </c>
      <c r="AD23" s="93">
        <f t="shared" si="17"/>
        <v>2469.6628072346948</v>
      </c>
      <c r="AG23" s="104">
        <f t="shared" si="18"/>
        <v>9.1595412430591962E-3</v>
      </c>
      <c r="AH23" s="103">
        <f t="shared" si="21"/>
        <v>1969</v>
      </c>
      <c r="AI23" s="103">
        <f t="shared" si="22"/>
        <v>65</v>
      </c>
    </row>
    <row r="24" spans="1:35" s="103" customFormat="1" ht="13.2" x14ac:dyDescent="0.25">
      <c r="A24" s="88"/>
      <c r="B24" s="89">
        <v>20730</v>
      </c>
      <c r="C24" s="90" t="s">
        <v>14</v>
      </c>
      <c r="D24" s="89">
        <v>37585</v>
      </c>
      <c r="E24" s="89"/>
      <c r="F24" s="91">
        <f>7285+58</f>
        <v>7343</v>
      </c>
      <c r="G24" s="91">
        <v>4432.38</v>
      </c>
      <c r="H24" s="92">
        <f t="shared" si="0"/>
        <v>60.244378618553924</v>
      </c>
      <c r="I24" s="92">
        <f t="shared" si="1"/>
        <v>64</v>
      </c>
      <c r="J24" s="92">
        <f t="shared" si="19"/>
        <v>64</v>
      </c>
      <c r="K24" s="93">
        <f t="shared" si="2"/>
        <v>14.099288191275781</v>
      </c>
      <c r="L24" s="93">
        <f t="shared" si="3"/>
        <v>3.7556213814460762</v>
      </c>
      <c r="M24" s="93">
        <f t="shared" si="4"/>
        <v>4</v>
      </c>
      <c r="N24" s="105">
        <f t="shared" si="5"/>
        <v>1</v>
      </c>
      <c r="O24" s="96">
        <f t="shared" si="20"/>
        <v>0.94489923032433154</v>
      </c>
      <c r="P24" s="96">
        <f t="shared" si="6"/>
        <v>0.99212325026843418</v>
      </c>
      <c r="Q24" s="98">
        <f t="shared" si="7"/>
        <v>1.1174079466031401</v>
      </c>
      <c r="R24" s="98">
        <f t="shared" si="8"/>
        <v>0.9283270622832358</v>
      </c>
      <c r="S24" s="98">
        <f t="shared" si="9"/>
        <v>0.78965889655449206</v>
      </c>
      <c r="T24" s="98">
        <f t="shared" si="10"/>
        <v>0.76789779739755504</v>
      </c>
      <c r="U24" s="93">
        <f t="shared" si="11"/>
        <v>1.6036197739343594</v>
      </c>
      <c r="V24" s="93">
        <f t="shared" si="12"/>
        <v>36169.153462076887</v>
      </c>
      <c r="W24" s="99"/>
      <c r="X24" s="100">
        <f t="shared" si="13"/>
        <v>0</v>
      </c>
      <c r="Y24" s="100">
        <f t="shared" si="14"/>
        <v>0</v>
      </c>
      <c r="Z24" s="100">
        <f t="shared" si="15"/>
        <v>0</v>
      </c>
      <c r="AA24" s="93">
        <f t="shared" si="16"/>
        <v>60</v>
      </c>
      <c r="AB24" s="98">
        <f>VLOOKUP(AA24,Table!$K$8:$M$73,2)</f>
        <v>0.94489923032433154</v>
      </c>
      <c r="AC24" s="98">
        <f>VLOOKUP(AA24,Table!$K$8:$M$73,3)</f>
        <v>0.97475957732056706</v>
      </c>
      <c r="AD24" s="93">
        <f t="shared" si="17"/>
        <v>22554.694105160987</v>
      </c>
      <c r="AG24" s="104">
        <f t="shared" si="18"/>
        <v>2.1034110344550785E-3</v>
      </c>
      <c r="AH24" s="103">
        <f t="shared" si="21"/>
        <v>1956</v>
      </c>
      <c r="AI24" s="103">
        <f t="shared" si="22"/>
        <v>64</v>
      </c>
    </row>
    <row r="25" spans="1:35" s="103" customFormat="1" ht="13.2" x14ac:dyDescent="0.25">
      <c r="A25" s="88"/>
      <c r="B25" s="107">
        <v>30287</v>
      </c>
      <c r="C25" s="106" t="s">
        <v>15</v>
      </c>
      <c r="D25" s="107">
        <v>38971</v>
      </c>
      <c r="E25" s="107"/>
      <c r="F25" s="91">
        <f>2698+58</f>
        <v>2756</v>
      </c>
      <c r="G25" s="91">
        <v>1891.71</v>
      </c>
      <c r="H25" s="92">
        <f t="shared" si="0"/>
        <v>34.080100125156441</v>
      </c>
      <c r="I25" s="92">
        <f t="shared" si="1"/>
        <v>65</v>
      </c>
      <c r="J25" s="92">
        <f t="shared" si="19"/>
        <v>65</v>
      </c>
      <c r="K25" s="93">
        <f t="shared" si="2"/>
        <v>10.304629168740668</v>
      </c>
      <c r="L25" s="93">
        <f t="shared" si="3"/>
        <v>30.919899874843559</v>
      </c>
      <c r="M25" s="93">
        <f t="shared" si="4"/>
        <v>6</v>
      </c>
      <c r="N25" s="105">
        <f t="shared" si="5"/>
        <v>1</v>
      </c>
      <c r="O25" s="96">
        <f t="shared" si="20"/>
        <v>0.93171888401190661</v>
      </c>
      <c r="P25" s="96">
        <f t="shared" si="6"/>
        <v>0.79232421948818932</v>
      </c>
      <c r="Q25" s="98">
        <f t="shared" si="7"/>
        <v>2.49416799768467</v>
      </c>
      <c r="R25" s="98">
        <f t="shared" si="8"/>
        <v>0.54210517136545677</v>
      </c>
      <c r="S25" s="98">
        <f t="shared" si="9"/>
        <v>0.24996353888836911</v>
      </c>
      <c r="T25" s="98">
        <f t="shared" si="10"/>
        <v>0.24950183651961771</v>
      </c>
      <c r="U25" s="93">
        <f t="shared" si="11"/>
        <v>1.6863969521044992</v>
      </c>
      <c r="V25" s="93">
        <f t="shared" si="12"/>
        <v>6957.6730836635552</v>
      </c>
      <c r="W25" s="99"/>
      <c r="X25" s="100">
        <f t="shared" si="13"/>
        <v>0</v>
      </c>
      <c r="Y25" s="100">
        <f t="shared" si="14"/>
        <v>0</v>
      </c>
      <c r="Z25" s="100">
        <f t="shared" si="15"/>
        <v>0</v>
      </c>
      <c r="AA25" s="93">
        <f t="shared" si="16"/>
        <v>34</v>
      </c>
      <c r="AB25" s="98">
        <f>VLOOKUP(AA25,Table!$K$8:$M$73,2)</f>
        <v>0.8638804148871263</v>
      </c>
      <c r="AC25" s="98">
        <f>VLOOKUP(AA25,Table!$K$8:$M$73,3)</f>
        <v>0.93171888401190661</v>
      </c>
      <c r="AD25" s="93">
        <f t="shared" si="17"/>
        <v>4125.762368688399</v>
      </c>
      <c r="AG25" s="104">
        <f t="shared" si="18"/>
        <v>7.5003646111163093E-3</v>
      </c>
      <c r="AH25" s="103">
        <f t="shared" si="21"/>
        <v>1982</v>
      </c>
      <c r="AI25" s="103">
        <f t="shared" si="22"/>
        <v>65</v>
      </c>
    </row>
    <row r="26" spans="1:35" s="103" customFormat="1" ht="13.2" x14ac:dyDescent="0.25">
      <c r="A26" s="88"/>
      <c r="B26" s="89">
        <v>28268</v>
      </c>
      <c r="C26" s="90" t="s">
        <v>15</v>
      </c>
      <c r="D26" s="89">
        <v>42095</v>
      </c>
      <c r="E26" s="89"/>
      <c r="F26" s="108">
        <v>2707</v>
      </c>
      <c r="G26" s="108">
        <v>1621.46</v>
      </c>
      <c r="H26" s="92">
        <f t="shared" si="0"/>
        <v>39.60848733744011</v>
      </c>
      <c r="I26" s="92">
        <f t="shared" si="1"/>
        <v>65</v>
      </c>
      <c r="J26" s="92">
        <f t="shared" si="19"/>
        <v>65</v>
      </c>
      <c r="K26" s="93">
        <f t="shared" si="2"/>
        <v>1.7510259917920656</v>
      </c>
      <c r="L26" s="93">
        <f t="shared" si="3"/>
        <v>25.39151266255989</v>
      </c>
      <c r="M26" s="93">
        <f t="shared" si="4"/>
        <v>6</v>
      </c>
      <c r="N26" s="105">
        <f t="shared" si="5"/>
        <v>1</v>
      </c>
      <c r="O26" s="96">
        <f t="shared" si="20"/>
        <v>0.93459514170040481</v>
      </c>
      <c r="P26" s="96">
        <f t="shared" si="6"/>
        <v>0.78768853766812974</v>
      </c>
      <c r="Q26" s="98">
        <f t="shared" si="7"/>
        <v>2.1181492273097078</v>
      </c>
      <c r="R26" s="98">
        <f t="shared" si="8"/>
        <v>0.60482346208281412</v>
      </c>
      <c r="S26" s="98">
        <f t="shared" si="9"/>
        <v>6.4512240881024266E-2</v>
      </c>
      <c r="T26" s="98">
        <f t="shared" si="10"/>
        <v>6.0842262569015454E-2</v>
      </c>
      <c r="U26" s="93">
        <f t="shared" si="11"/>
        <v>1.5989878093830809</v>
      </c>
      <c r="V26" s="93">
        <f t="shared" si="12"/>
        <v>1580.1197990368839</v>
      </c>
      <c r="W26" s="99"/>
      <c r="X26" s="100">
        <f t="shared" si="13"/>
        <v>0</v>
      </c>
      <c r="Y26" s="100">
        <f t="shared" si="14"/>
        <v>0</v>
      </c>
      <c r="Z26" s="100">
        <f t="shared" si="15"/>
        <v>0</v>
      </c>
      <c r="AA26" s="93">
        <f t="shared" si="16"/>
        <v>40</v>
      </c>
      <c r="AB26" s="98">
        <f>VLOOKUP(AA26,Table!$K$8:$M$73,2)</f>
        <v>0.86978868048161195</v>
      </c>
      <c r="AC26" s="98">
        <f>VLOOKUP(AA26,Table!$K$8:$M$73,3)</f>
        <v>0.93459514170040481</v>
      </c>
      <c r="AD26" s="93">
        <f t="shared" si="17"/>
        <v>988.20002864594903</v>
      </c>
      <c r="AG26" s="104">
        <f t="shared" si="18"/>
        <v>9.3548775911897579E-3</v>
      </c>
      <c r="AH26" s="103">
        <f t="shared" si="21"/>
        <v>1977</v>
      </c>
      <c r="AI26" s="103">
        <f t="shared" si="22"/>
        <v>65</v>
      </c>
    </row>
    <row r="27" spans="1:35" s="103" customFormat="1" ht="13.2" x14ac:dyDescent="0.25">
      <c r="A27" s="88"/>
      <c r="B27" s="107">
        <v>31232</v>
      </c>
      <c r="C27" s="106" t="s">
        <v>15</v>
      </c>
      <c r="D27" s="89">
        <v>40427</v>
      </c>
      <c r="E27" s="107">
        <v>42502</v>
      </c>
      <c r="F27" s="91"/>
      <c r="G27" s="91"/>
      <c r="H27" s="92">
        <f t="shared" si="0"/>
        <v>31.493497604380561</v>
      </c>
      <c r="I27" s="92">
        <f t="shared" si="1"/>
        <v>65</v>
      </c>
      <c r="J27" s="92">
        <f t="shared" si="19"/>
        <v>65</v>
      </c>
      <c r="K27" s="93">
        <f t="shared" si="2"/>
        <v>0</v>
      </c>
      <c r="L27" s="93">
        <f t="shared" si="3"/>
        <v>33.506502395619435</v>
      </c>
      <c r="M27" s="93">
        <f t="shared" si="4"/>
        <v>6</v>
      </c>
      <c r="N27" s="105">
        <f t="shared" si="5"/>
        <v>1</v>
      </c>
      <c r="O27" s="96">
        <f t="shared" si="20"/>
        <v>0.93074217056920239</v>
      </c>
      <c r="P27" s="96">
        <f t="shared" si="6"/>
        <v>0.71408619520575634</v>
      </c>
      <c r="Q27" s="98">
        <f t="shared" si="7"/>
        <v>2.6923436997140548</v>
      </c>
      <c r="R27" s="98">
        <f t="shared" si="8"/>
        <v>0.51503687500048678</v>
      </c>
      <c r="S27" s="98">
        <f t="shared" si="9"/>
        <v>0</v>
      </c>
      <c r="T27" s="98">
        <f t="shared" si="10"/>
        <v>0</v>
      </c>
      <c r="U27" s="93">
        <f t="shared" si="11"/>
        <v>0</v>
      </c>
      <c r="V27" s="93">
        <f t="shared" si="12"/>
        <v>0</v>
      </c>
      <c r="W27" s="99"/>
      <c r="X27" s="100">
        <f t="shared" si="13"/>
        <v>0</v>
      </c>
      <c r="Y27" s="100">
        <f t="shared" si="14"/>
        <v>1</v>
      </c>
      <c r="Z27" s="100">
        <f t="shared" si="15"/>
        <v>0</v>
      </c>
      <c r="AA27" s="93">
        <f t="shared" si="16"/>
        <v>31</v>
      </c>
      <c r="AB27" s="98">
        <f>VLOOKUP(AA27,Table!$K$8:$M$73,2)</f>
        <v>0.86172478850952472</v>
      </c>
      <c r="AC27" s="98">
        <f>VLOOKUP(AA27,Table!$K$8:$M$73,3)</f>
        <v>0.93074217056920239</v>
      </c>
      <c r="AD27" s="93">
        <f t="shared" si="17"/>
        <v>0</v>
      </c>
      <c r="AG27" s="104">
        <f t="shared" si="18"/>
        <v>0.01</v>
      </c>
      <c r="AH27" s="103">
        <f t="shared" si="21"/>
        <v>1985</v>
      </c>
      <c r="AI27" s="103">
        <f t="shared" si="22"/>
        <v>65</v>
      </c>
    </row>
    <row r="28" spans="1:35" s="103" customFormat="1" ht="13.2" x14ac:dyDescent="0.25">
      <c r="A28" s="88"/>
      <c r="B28" s="89">
        <v>32272</v>
      </c>
      <c r="C28" s="90" t="s">
        <v>14</v>
      </c>
      <c r="D28" s="89">
        <v>41862</v>
      </c>
      <c r="E28" s="89"/>
      <c r="F28" s="108">
        <v>2712</v>
      </c>
      <c r="G28" s="108">
        <v>1624.54</v>
      </c>
      <c r="H28" s="92">
        <f t="shared" si="0"/>
        <v>28.644104597375623</v>
      </c>
      <c r="I28" s="92">
        <f t="shared" si="1"/>
        <v>65</v>
      </c>
      <c r="J28" s="92">
        <f t="shared" si="19"/>
        <v>65</v>
      </c>
      <c r="K28" s="93">
        <f t="shared" si="2"/>
        <v>2.3895985401459856</v>
      </c>
      <c r="L28" s="93">
        <f t="shared" si="3"/>
        <v>36.355895402624377</v>
      </c>
      <c r="M28" s="93">
        <f t="shared" si="4"/>
        <v>6</v>
      </c>
      <c r="N28" s="105">
        <f t="shared" si="5"/>
        <v>1</v>
      </c>
      <c r="O28" s="96">
        <f t="shared" si="20"/>
        <v>0.86044179757527883</v>
      </c>
      <c r="P28" s="96">
        <f t="shared" si="6"/>
        <v>0.7098175562906468</v>
      </c>
      <c r="Q28" s="98">
        <f t="shared" si="7"/>
        <v>2.9289286934106356</v>
      </c>
      <c r="R28" s="98">
        <f t="shared" si="8"/>
        <v>0.48678036833198324</v>
      </c>
      <c r="S28" s="98">
        <f t="shared" si="9"/>
        <v>6.1674230909937032E-2</v>
      </c>
      <c r="T28" s="98">
        <f t="shared" si="10"/>
        <v>5.370489004531865E-2</v>
      </c>
      <c r="U28" s="93">
        <f t="shared" si="11"/>
        <v>1.599019174041298</v>
      </c>
      <c r="V28" s="93">
        <f t="shared" si="12"/>
        <v>1397.360423262757</v>
      </c>
      <c r="W28" s="99"/>
      <c r="X28" s="100">
        <f t="shared" si="13"/>
        <v>0</v>
      </c>
      <c r="Y28" s="100">
        <f t="shared" si="14"/>
        <v>0</v>
      </c>
      <c r="Z28" s="100">
        <f t="shared" si="15"/>
        <v>0</v>
      </c>
      <c r="AA28" s="93">
        <f t="shared" si="16"/>
        <v>29</v>
      </c>
      <c r="AB28" s="98">
        <f>VLOOKUP(AA28,Table!$K$8:$M$73,2)</f>
        <v>0.86044179757527883</v>
      </c>
      <c r="AC28" s="98">
        <f>VLOOKUP(AA28,Table!$K$8:$M$73,3)</f>
        <v>0.93017961297081664</v>
      </c>
      <c r="AD28" s="93">
        <f t="shared" si="17"/>
        <v>873.88597081742512</v>
      </c>
      <c r="AG28" s="104">
        <f t="shared" si="18"/>
        <v>9.3832576909006309E-3</v>
      </c>
      <c r="AH28" s="103">
        <f t="shared" si="21"/>
        <v>1988</v>
      </c>
      <c r="AI28" s="103">
        <f t="shared" si="22"/>
        <v>65</v>
      </c>
    </row>
    <row r="29" spans="1:35" s="103" customFormat="1" ht="13.2" x14ac:dyDescent="0.25">
      <c r="A29" s="88"/>
      <c r="B29" s="107">
        <v>30632</v>
      </c>
      <c r="C29" s="106" t="s">
        <v>15</v>
      </c>
      <c r="D29" s="107">
        <v>36607</v>
      </c>
      <c r="E29" s="107"/>
      <c r="F29" s="108">
        <v>2462</v>
      </c>
      <c r="G29" s="91">
        <v>1476.47</v>
      </c>
      <c r="H29" s="92">
        <f t="shared" si="0"/>
        <v>33.134873983412511</v>
      </c>
      <c r="I29" s="92">
        <f t="shared" si="1"/>
        <v>65</v>
      </c>
      <c r="J29" s="92">
        <f t="shared" si="19"/>
        <v>65</v>
      </c>
      <c r="K29" s="93">
        <f t="shared" si="2"/>
        <v>16.775523349436391</v>
      </c>
      <c r="L29" s="93">
        <f t="shared" si="3"/>
        <v>31.865126016587489</v>
      </c>
      <c r="M29" s="93">
        <f t="shared" si="4"/>
        <v>6</v>
      </c>
      <c r="N29" s="105">
        <f t="shared" si="5"/>
        <v>1</v>
      </c>
      <c r="O29" s="96">
        <f t="shared" si="20"/>
        <v>0.93135237634148305</v>
      </c>
      <c r="P29" s="96">
        <f t="shared" si="6"/>
        <v>0.81103879090777886</v>
      </c>
      <c r="Q29" s="98">
        <f t="shared" si="7"/>
        <v>2.5648370756139558</v>
      </c>
      <c r="R29" s="98">
        <f t="shared" si="8"/>
        <v>0.53205244469136337</v>
      </c>
      <c r="S29" s="98">
        <f t="shared" si="9"/>
        <v>0.34488691183375342</v>
      </c>
      <c r="T29" s="98">
        <f t="shared" si="10"/>
        <v>0.35550572014214543</v>
      </c>
      <c r="U29" s="93">
        <f t="shared" si="11"/>
        <v>1.5997034930950447</v>
      </c>
      <c r="V29" s="93">
        <f t="shared" si="12"/>
        <v>8400.8916816494129</v>
      </c>
      <c r="W29" s="99"/>
      <c r="X29" s="100">
        <f t="shared" si="13"/>
        <v>0</v>
      </c>
      <c r="Y29" s="100">
        <f t="shared" si="14"/>
        <v>0</v>
      </c>
      <c r="Z29" s="100">
        <f t="shared" si="15"/>
        <v>0</v>
      </c>
      <c r="AA29" s="93">
        <f t="shared" si="16"/>
        <v>33</v>
      </c>
      <c r="AB29" s="98">
        <f>VLOOKUP(AA29,Table!$K$8:$M$73,2)</f>
        <v>0.86313436626873252</v>
      </c>
      <c r="AC29" s="98">
        <f>VLOOKUP(AA29,Table!$K$8:$M$73,3)</f>
        <v>0.93135237634148305</v>
      </c>
      <c r="AD29" s="93">
        <f t="shared" si="17"/>
        <v>5251.5304979397724</v>
      </c>
      <c r="AG29" s="104">
        <f t="shared" si="18"/>
        <v>6.5511308816624666E-3</v>
      </c>
      <c r="AH29" s="103">
        <f t="shared" si="21"/>
        <v>1983</v>
      </c>
      <c r="AI29" s="103">
        <f t="shared" si="22"/>
        <v>65</v>
      </c>
    </row>
    <row r="30" spans="1:35" s="103" customFormat="1" ht="13.2" x14ac:dyDescent="0.25">
      <c r="A30" s="88"/>
      <c r="B30" s="107">
        <v>25735</v>
      </c>
      <c r="C30" s="106" t="s">
        <v>15</v>
      </c>
      <c r="D30" s="107">
        <v>37536</v>
      </c>
      <c r="E30" s="107"/>
      <c r="F30" s="108">
        <v>5191</v>
      </c>
      <c r="G30" s="108">
        <v>3109.16</v>
      </c>
      <c r="H30" s="92">
        <f t="shared" si="0"/>
        <v>46.542785576979085</v>
      </c>
      <c r="I30" s="92">
        <f t="shared" si="1"/>
        <v>65</v>
      </c>
      <c r="J30" s="92">
        <f t="shared" si="19"/>
        <v>65</v>
      </c>
      <c r="K30" s="93">
        <f t="shared" si="2"/>
        <v>14.23343675853258</v>
      </c>
      <c r="L30" s="93">
        <f t="shared" si="3"/>
        <v>18.457214423020915</v>
      </c>
      <c r="M30" s="93">
        <f t="shared" si="4"/>
        <v>6</v>
      </c>
      <c r="N30" s="105">
        <f t="shared" si="5"/>
        <v>1</v>
      </c>
      <c r="O30" s="96">
        <f t="shared" si="20"/>
        <v>0.94119685649342044</v>
      </c>
      <c r="P30" s="96">
        <f t="shared" si="6"/>
        <v>0.90077016649296449</v>
      </c>
      <c r="Q30" s="98">
        <f t="shared" si="7"/>
        <v>1.7255971268215287</v>
      </c>
      <c r="R30" s="98">
        <f t="shared" si="8"/>
        <v>0.69384871084202537</v>
      </c>
      <c r="S30" s="98">
        <f t="shared" si="9"/>
        <v>0.43539777410626035</v>
      </c>
      <c r="T30" s="98">
        <f t="shared" si="10"/>
        <v>0.4419619296401705</v>
      </c>
      <c r="U30" s="93">
        <f t="shared" si="11"/>
        <v>1.5989520323637065</v>
      </c>
      <c r="V30" s="93">
        <f t="shared" si="12"/>
        <v>22010.128379532947</v>
      </c>
      <c r="W30" s="99"/>
      <c r="X30" s="100">
        <f t="shared" si="13"/>
        <v>0</v>
      </c>
      <c r="Y30" s="100">
        <f t="shared" si="14"/>
        <v>0</v>
      </c>
      <c r="Z30" s="100">
        <f t="shared" si="15"/>
        <v>0</v>
      </c>
      <c r="AA30" s="93">
        <f t="shared" si="16"/>
        <v>47</v>
      </c>
      <c r="AB30" s="98">
        <f>VLOOKUP(AA30,Table!$K$8:$M$73,2)</f>
        <v>0.88167713144102533</v>
      </c>
      <c r="AC30" s="98">
        <f>VLOOKUP(AA30,Table!$K$8:$M$73,3)</f>
        <v>0.94119685649342044</v>
      </c>
      <c r="AD30" s="93">
        <f t="shared" si="17"/>
        <v>13765.346260572751</v>
      </c>
      <c r="AG30" s="104">
        <f t="shared" si="18"/>
        <v>5.6460222589373972E-3</v>
      </c>
      <c r="AH30" s="103">
        <f t="shared" si="21"/>
        <v>1970</v>
      </c>
      <c r="AI30" s="103">
        <f t="shared" si="22"/>
        <v>65</v>
      </c>
    </row>
    <row r="31" spans="1:35" s="103" customFormat="1" ht="13.2" x14ac:dyDescent="0.25">
      <c r="A31" s="88"/>
      <c r="B31" s="89">
        <v>32180</v>
      </c>
      <c r="C31" s="90" t="s">
        <v>15</v>
      </c>
      <c r="D31" s="89">
        <v>41641</v>
      </c>
      <c r="E31" s="89"/>
      <c r="F31" s="108">
        <v>2504</v>
      </c>
      <c r="G31" s="108">
        <v>1496.97</v>
      </c>
      <c r="H31" s="92">
        <f t="shared" si="0"/>
        <v>28.89596903615595</v>
      </c>
      <c r="I31" s="92">
        <f t="shared" si="1"/>
        <v>65</v>
      </c>
      <c r="J31" s="92">
        <f t="shared" si="19"/>
        <v>65</v>
      </c>
      <c r="K31" s="93">
        <f t="shared" si="2"/>
        <v>2.9945255474452557</v>
      </c>
      <c r="L31" s="93">
        <f t="shared" si="3"/>
        <v>36.104030963844053</v>
      </c>
      <c r="M31" s="93">
        <f t="shared" si="4"/>
        <v>6</v>
      </c>
      <c r="N31" s="105">
        <f t="shared" si="5"/>
        <v>1</v>
      </c>
      <c r="O31" s="96">
        <f t="shared" si="20"/>
        <v>0.93017961297081664</v>
      </c>
      <c r="P31" s="96">
        <f t="shared" si="6"/>
        <v>0.7153829029584301</v>
      </c>
      <c r="Q31" s="98">
        <f t="shared" si="7"/>
        <v>2.9072043396478162</v>
      </c>
      <c r="R31" s="98">
        <f t="shared" si="8"/>
        <v>0.48921428783393084</v>
      </c>
      <c r="S31" s="98">
        <f t="shared" si="9"/>
        <v>7.6589158645297223E-2</v>
      </c>
      <c r="T31" s="98">
        <f t="shared" si="10"/>
        <v>7.248486973170494E-2</v>
      </c>
      <c r="U31" s="93">
        <f t="shared" si="11"/>
        <v>1.5978314696485623</v>
      </c>
      <c r="V31" s="93">
        <f t="shared" si="12"/>
        <v>1740.0587355027569</v>
      </c>
      <c r="W31" s="99"/>
      <c r="X31" s="100">
        <f t="shared" si="13"/>
        <v>0</v>
      </c>
      <c r="Y31" s="100">
        <f t="shared" si="14"/>
        <v>0</v>
      </c>
      <c r="Z31" s="100">
        <f t="shared" si="15"/>
        <v>0</v>
      </c>
      <c r="AA31" s="93">
        <f t="shared" si="16"/>
        <v>29</v>
      </c>
      <c r="AB31" s="98">
        <f>VLOOKUP(AA31,Table!$K$8:$M$73,2)</f>
        <v>0.86044179757527883</v>
      </c>
      <c r="AC31" s="98">
        <f>VLOOKUP(AA31,Table!$K$8:$M$73,3)</f>
        <v>0.93017961297081664</v>
      </c>
      <c r="AD31" s="93">
        <f t="shared" si="17"/>
        <v>1089.012682849135</v>
      </c>
      <c r="AG31" s="104">
        <f t="shared" si="18"/>
        <v>9.2341084135470278E-3</v>
      </c>
      <c r="AH31" s="103">
        <f t="shared" si="21"/>
        <v>1988</v>
      </c>
      <c r="AI31" s="103">
        <f t="shared" si="22"/>
        <v>65</v>
      </c>
    </row>
    <row r="32" spans="1:35" s="103" customFormat="1" ht="13.2" x14ac:dyDescent="0.25">
      <c r="A32" s="88"/>
      <c r="B32" s="107">
        <v>29551</v>
      </c>
      <c r="C32" s="106" t="s">
        <v>15</v>
      </c>
      <c r="D32" s="107">
        <v>38534</v>
      </c>
      <c r="E32" s="107"/>
      <c r="F32" s="91">
        <f>2644+87</f>
        <v>2731</v>
      </c>
      <c r="G32" s="91">
        <v>1637.25</v>
      </c>
      <c r="H32" s="92">
        <f t="shared" si="0"/>
        <v>36.093821679615246</v>
      </c>
      <c r="I32" s="92">
        <f t="shared" si="1"/>
        <v>65</v>
      </c>
      <c r="J32" s="92">
        <f t="shared" si="19"/>
        <v>65</v>
      </c>
      <c r="K32" s="93">
        <f t="shared" si="2"/>
        <v>11.501711156741958</v>
      </c>
      <c r="L32" s="93">
        <f t="shared" si="3"/>
        <v>28.906178320384754</v>
      </c>
      <c r="M32" s="93">
        <f t="shared" si="4"/>
        <v>6</v>
      </c>
      <c r="N32" s="105">
        <f t="shared" si="5"/>
        <v>1</v>
      </c>
      <c r="O32" s="96">
        <f t="shared" si="20"/>
        <v>0.93249043151591049</v>
      </c>
      <c r="P32" s="96">
        <f t="shared" si="6"/>
        <v>0.81259183990449479</v>
      </c>
      <c r="Q32" s="98">
        <f t="shared" si="7"/>
        <v>2.3500391992081879</v>
      </c>
      <c r="R32" s="98">
        <f t="shared" si="8"/>
        <v>0.56415949447740443</v>
      </c>
      <c r="S32" s="98">
        <f t="shared" si="9"/>
        <v>0.28464023500293467</v>
      </c>
      <c r="T32" s="98">
        <f t="shared" si="10"/>
        <v>0.28595002453531226</v>
      </c>
      <c r="U32" s="93">
        <f t="shared" si="11"/>
        <v>1.5995056755767119</v>
      </c>
      <c r="V32" s="93">
        <f t="shared" si="12"/>
        <v>7494.6071680582672</v>
      </c>
      <c r="W32" s="99"/>
      <c r="X32" s="100">
        <f t="shared" si="13"/>
        <v>0</v>
      </c>
      <c r="Y32" s="100">
        <f t="shared" si="14"/>
        <v>0</v>
      </c>
      <c r="Z32" s="100">
        <f t="shared" si="15"/>
        <v>0</v>
      </c>
      <c r="AA32" s="93">
        <f t="shared" si="16"/>
        <v>36</v>
      </c>
      <c r="AB32" s="98">
        <f>VLOOKUP(AA32,Table!$K$8:$M$73,2)</f>
        <v>0.86557918224703756</v>
      </c>
      <c r="AC32" s="98">
        <f>VLOOKUP(AA32,Table!$K$8:$M$73,3)</f>
        <v>0.93249043151591049</v>
      </c>
      <c r="AD32" s="93">
        <f t="shared" si="17"/>
        <v>4685.5771020356269</v>
      </c>
      <c r="AG32" s="104">
        <f t="shared" si="18"/>
        <v>7.1535976499706531E-3</v>
      </c>
      <c r="AH32" s="103">
        <f t="shared" si="21"/>
        <v>1980</v>
      </c>
      <c r="AI32" s="103">
        <f t="shared" si="22"/>
        <v>65</v>
      </c>
    </row>
    <row r="33" spans="1:35" s="103" customFormat="1" ht="13.2" x14ac:dyDescent="0.25">
      <c r="A33" s="88"/>
      <c r="B33" s="89">
        <v>27726</v>
      </c>
      <c r="C33" s="106" t="s">
        <v>14</v>
      </c>
      <c r="D33" s="89">
        <v>42101</v>
      </c>
      <c r="E33" s="89"/>
      <c r="F33" s="108">
        <v>4640</v>
      </c>
      <c r="G33" s="108">
        <v>2770.37</v>
      </c>
      <c r="H33" s="92">
        <f t="shared" si="0"/>
        <v>41.091063164070142</v>
      </c>
      <c r="I33" s="92">
        <f t="shared" si="1"/>
        <v>65</v>
      </c>
      <c r="J33" s="92">
        <f t="shared" si="19"/>
        <v>65</v>
      </c>
      <c r="K33" s="93">
        <f t="shared" si="2"/>
        <v>1.734610123119015</v>
      </c>
      <c r="L33" s="93">
        <f t="shared" si="3"/>
        <v>23.908936835929858</v>
      </c>
      <c r="M33" s="93">
        <f t="shared" si="4"/>
        <v>6</v>
      </c>
      <c r="N33" s="105">
        <f t="shared" si="5"/>
        <v>1</v>
      </c>
      <c r="O33" s="96">
        <f t="shared" si="20"/>
        <v>0.87102826735566419</v>
      </c>
      <c r="P33" s="96">
        <f t="shared" si="6"/>
        <v>0.79934526439653031</v>
      </c>
      <c r="Q33" s="98">
        <f t="shared" si="7"/>
        <v>2.0273297554008343</v>
      </c>
      <c r="R33" s="98">
        <f t="shared" si="8"/>
        <v>0.62284364349952304</v>
      </c>
      <c r="S33" s="98">
        <f t="shared" si="9"/>
        <v>6.7643143356458366E-2</v>
      </c>
      <c r="T33" s="98">
        <f t="shared" si="10"/>
        <v>5.9469442588282316E-2</v>
      </c>
      <c r="U33" s="93">
        <f t="shared" si="11"/>
        <v>1.5970624999999998</v>
      </c>
      <c r="V33" s="93">
        <f t="shared" si="12"/>
        <v>2644.1434396375776</v>
      </c>
      <c r="W33" s="99"/>
      <c r="X33" s="100">
        <f t="shared" si="13"/>
        <v>0</v>
      </c>
      <c r="Y33" s="100">
        <f t="shared" si="14"/>
        <v>0</v>
      </c>
      <c r="Z33" s="100">
        <f t="shared" si="15"/>
        <v>0</v>
      </c>
      <c r="AA33" s="93">
        <f t="shared" si="16"/>
        <v>41</v>
      </c>
      <c r="AB33" s="98">
        <f>VLOOKUP(AA33,Table!$K$8:$M$73,2)</f>
        <v>0.87102826735566419</v>
      </c>
      <c r="AC33" s="98">
        <f>VLOOKUP(AA33,Table!$K$8:$M$73,3)</f>
        <v>0.93524830093891487</v>
      </c>
      <c r="AD33" s="93">
        <f t="shared" si="17"/>
        <v>1655.6292816577798</v>
      </c>
      <c r="AG33" s="104">
        <f t="shared" si="18"/>
        <v>9.3235685664354168E-3</v>
      </c>
      <c r="AH33" s="103">
        <f t="shared" si="21"/>
        <v>1975</v>
      </c>
      <c r="AI33" s="103">
        <f t="shared" si="22"/>
        <v>65</v>
      </c>
    </row>
    <row r="34" spans="1:35" s="103" customFormat="1" ht="13.2" x14ac:dyDescent="0.25">
      <c r="A34" s="88"/>
      <c r="B34" s="89">
        <v>22187</v>
      </c>
      <c r="C34" s="90" t="s">
        <v>15</v>
      </c>
      <c r="D34" s="89">
        <v>37592</v>
      </c>
      <c r="E34" s="89"/>
      <c r="F34" s="91">
        <v>5454</v>
      </c>
      <c r="G34" s="91">
        <v>3270.85</v>
      </c>
      <c r="H34" s="92">
        <f t="shared" ref="H34:H46" si="23">IF(B34&gt;0,YEARFRAC(B34,$V$8,1),0)</f>
        <v>56.25533141210375</v>
      </c>
      <c r="I34" s="92">
        <f t="shared" ref="I34:I46" si="24">IF(YEAR(B34)&gt;=$N$5,$N$6,IF(YEAR(B34)&gt;=$M$5,$M$6,IF(YEAR(B34)=$L$5,$L$6,IF(YEAR(B34)=$K$5,$K$6,$J$6))))</f>
        <v>65</v>
      </c>
      <c r="J34" s="92">
        <f t="shared" ref="J34:J46" si="25">IF(H34&gt;I34,$F$5,I34)</f>
        <v>65</v>
      </c>
      <c r="K34" s="93">
        <f t="shared" ref="K34:K46" si="26">IF(D34=0,0,IF((YEARFRAC(E34,$V$8,1))&gt;1,YEARFRAC(D34,$V$8,1),0))</f>
        <v>14.080124110239096</v>
      </c>
      <c r="L34" s="93">
        <f t="shared" ref="L34:L46" si="27">J34-H34</f>
        <v>8.7446685878962498</v>
      </c>
      <c r="M34" s="93">
        <f t="shared" ref="M34:M46" si="28">IF((L34+K34)&gt;=$V$5,$V$6,IF((L34+K34)&gt;=$U$5,$U$6,IF((L34+K34)&gt;=$T$5,$T$6,IF((L34+K34)&gt;=$S$5,$S$6,IF((L34+K34)&gt;=$R$5,$R$6,IF((L34+K34)&gt;=$Q$5,$Q$6,0))))))</f>
        <v>4</v>
      </c>
      <c r="N34" s="105">
        <f t="shared" ref="N34:N46" si="29">IF(L34+K34&gt;$Q$5,1,0)</f>
        <v>1</v>
      </c>
      <c r="O34" s="96">
        <f t="shared" ref="O34:O46" si="30">IF(C34="F",AC34,IF(C34="H",AB34,0))</f>
        <v>0.96014391032639779</v>
      </c>
      <c r="P34" s="96">
        <f t="shared" ref="P34:P46" si="31">IF(L34=0,0,(1-($F$6/(L34+K34)*L34))^L34)</f>
        <v>0.96699007526071401</v>
      </c>
      <c r="Q34" s="98">
        <f t="shared" ref="Q34:Q46" si="32">IF(L34=0,0,(1+$C$6)^L34)</f>
        <v>1.2949627489620095</v>
      </c>
      <c r="R34" s="98">
        <f t="shared" ref="R34:R46" si="33">IF(L34=0,0,(1+$C$5)^-L34)</f>
        <v>0.8409968093651411</v>
      </c>
      <c r="S34" s="98">
        <f t="shared" ref="S34:S46" si="34">IF((K34*L34)=0,0,K34/(K34+L34))</f>
        <v>0.61687850998048099</v>
      </c>
      <c r="T34" s="98">
        <f t="shared" ref="T34:T46" si="35">S34*R34*Q34*P34*O34*N34</f>
        <v>0.62374864237675842</v>
      </c>
      <c r="U34" s="93">
        <f t="shared" ref="U34:U46" si="36">IF(G34=0,0,(G34/F34)+1)</f>
        <v>1.5997158049138247</v>
      </c>
      <c r="V34" s="93">
        <f t="shared" ref="V34:V46" si="37">F34*M34*T34*U34</f>
        <v>21768.453369763443</v>
      </c>
      <c r="W34" s="99"/>
      <c r="X34" s="100">
        <f t="shared" ref="X34:X46" si="38">IF(YEARFRAC(D34,$V$8,1)&gt;1,0,1)</f>
        <v>0</v>
      </c>
      <c r="Y34" s="100">
        <f t="shared" ref="Y34:Y46" si="39">IF(YEARFRAC(E34,$V$8,1)&lt;1,IF(E34&lt;=$V$8,1,0),0)</f>
        <v>0</v>
      </c>
      <c r="Z34" s="100">
        <f t="shared" ref="Z34:Z46" si="40">IF(A34&lt;&gt;0,IF(E34=0,1,IF(E34&gt;$V$8,1,0)),0)</f>
        <v>0</v>
      </c>
      <c r="AA34" s="93">
        <f t="shared" ref="AA34:AA46" si="41">ROUND(H34,0)</f>
        <v>56</v>
      </c>
      <c r="AB34" s="98">
        <f>VLOOKUP(AA34,Table!$K$8:$M$73,2)</f>
        <v>0.91606461213310619</v>
      </c>
      <c r="AC34" s="98">
        <f>VLOOKUP(AA34,Table!$K$8:$M$73,3)</f>
        <v>0.96014391032639779</v>
      </c>
      <c r="AD34" s="93">
        <f t="shared" ref="AD34:AD46" si="42">IF(U34=0,0,V34/U34)</f>
        <v>13607.700382091361</v>
      </c>
      <c r="AG34" s="104">
        <f t="shared" ref="AG34:AG46" si="43">$F$6/(L34+K34)*L34</f>
        <v>3.8312149001951895E-3</v>
      </c>
      <c r="AH34" s="103">
        <f t="shared" ref="AH34:AH46" si="44">YEAR(B34)</f>
        <v>1960</v>
      </c>
      <c r="AI34" s="103">
        <f t="shared" ref="AI34:AI46" si="45">L34+H34</f>
        <v>65</v>
      </c>
    </row>
    <row r="35" spans="1:35" s="103" customFormat="1" ht="13.2" x14ac:dyDescent="0.25">
      <c r="A35" s="88"/>
      <c r="B35" s="89">
        <v>21917</v>
      </c>
      <c r="C35" s="90" t="s">
        <v>14</v>
      </c>
      <c r="D35" s="89">
        <v>39050</v>
      </c>
      <c r="E35" s="89"/>
      <c r="F35" s="91">
        <f>4077+29</f>
        <v>4106</v>
      </c>
      <c r="G35" s="91">
        <v>2442.0100000000002</v>
      </c>
      <c r="H35" s="92">
        <f t="shared" si="23"/>
        <v>56.99452449567724</v>
      </c>
      <c r="I35" s="92">
        <f t="shared" si="24"/>
        <v>65</v>
      </c>
      <c r="J35" s="92">
        <f t="shared" si="25"/>
        <v>65</v>
      </c>
      <c r="K35" s="93">
        <f t="shared" si="26"/>
        <v>10.088352414136386</v>
      </c>
      <c r="L35" s="93">
        <f t="shared" si="27"/>
        <v>8.0054755043227601</v>
      </c>
      <c r="M35" s="93">
        <f t="shared" si="28"/>
        <v>4</v>
      </c>
      <c r="N35" s="105">
        <f t="shared" si="29"/>
        <v>1</v>
      </c>
      <c r="O35" s="96">
        <f t="shared" si="30"/>
        <v>0.92230026815472632</v>
      </c>
      <c r="P35" s="96">
        <f t="shared" si="31"/>
        <v>0.96512447101186516</v>
      </c>
      <c r="Q35" s="98">
        <f t="shared" si="32"/>
        <v>1.2669751238937412</v>
      </c>
      <c r="R35" s="98">
        <f t="shared" si="33"/>
        <v>0.85339783278273096</v>
      </c>
      <c r="S35" s="98">
        <f t="shared" si="34"/>
        <v>0.55755766328717793</v>
      </c>
      <c r="T35" s="98">
        <f t="shared" si="35"/>
        <v>0.53661780092110323</v>
      </c>
      <c r="U35" s="93">
        <f t="shared" si="36"/>
        <v>1.5947418412079883</v>
      </c>
      <c r="V35" s="93">
        <f t="shared" si="37"/>
        <v>14055.114906437573</v>
      </c>
      <c r="W35" s="99"/>
      <c r="X35" s="100">
        <f t="shared" si="38"/>
        <v>0</v>
      </c>
      <c r="Y35" s="100">
        <f t="shared" si="39"/>
        <v>0</v>
      </c>
      <c r="Z35" s="100">
        <f t="shared" si="40"/>
        <v>0</v>
      </c>
      <c r="AA35" s="93">
        <f t="shared" si="41"/>
        <v>57</v>
      </c>
      <c r="AB35" s="98">
        <f>VLOOKUP(AA35,Table!$K$8:$M$73,2)</f>
        <v>0.92230026815472632</v>
      </c>
      <c r="AC35" s="98">
        <f>VLOOKUP(AA35,Table!$K$8:$M$73,3)</f>
        <v>0.96337951756948503</v>
      </c>
      <c r="AD35" s="93">
        <f t="shared" si="42"/>
        <v>8813.4107623281998</v>
      </c>
      <c r="AG35" s="104">
        <f t="shared" si="43"/>
        <v>4.4244233671282196E-3</v>
      </c>
      <c r="AH35" s="103">
        <f t="shared" si="44"/>
        <v>1960</v>
      </c>
      <c r="AI35" s="103">
        <f t="shared" si="45"/>
        <v>65</v>
      </c>
    </row>
    <row r="36" spans="1:35" s="103" customFormat="1" ht="13.2" x14ac:dyDescent="0.25">
      <c r="A36" s="88"/>
      <c r="B36" s="89">
        <v>30326</v>
      </c>
      <c r="C36" s="90" t="s">
        <v>15</v>
      </c>
      <c r="D36" s="89">
        <v>42248</v>
      </c>
      <c r="E36" s="89">
        <v>42522</v>
      </c>
      <c r="F36" s="91"/>
      <c r="G36" s="91"/>
      <c r="H36" s="92">
        <f t="shared" si="23"/>
        <v>33.972622594411789</v>
      </c>
      <c r="I36" s="92">
        <f t="shared" si="24"/>
        <v>65</v>
      </c>
      <c r="J36" s="92">
        <f t="shared" si="25"/>
        <v>65</v>
      </c>
      <c r="K36" s="93">
        <f t="shared" si="26"/>
        <v>0</v>
      </c>
      <c r="L36" s="93">
        <f t="shared" si="27"/>
        <v>31.027377405588211</v>
      </c>
      <c r="M36" s="93">
        <f t="shared" si="28"/>
        <v>6</v>
      </c>
      <c r="N36" s="105">
        <f t="shared" si="29"/>
        <v>1</v>
      </c>
      <c r="O36" s="96">
        <f t="shared" si="30"/>
        <v>0.93171888401190661</v>
      </c>
      <c r="P36" s="96">
        <f t="shared" si="31"/>
        <v>0.73210190254737351</v>
      </c>
      <c r="Q36" s="98">
        <f t="shared" si="32"/>
        <v>2.5021043374790484</v>
      </c>
      <c r="R36" s="98">
        <f t="shared" si="33"/>
        <v>0.54095261555787855</v>
      </c>
      <c r="S36" s="98">
        <f t="shared" si="34"/>
        <v>0</v>
      </c>
      <c r="T36" s="98">
        <f t="shared" si="35"/>
        <v>0</v>
      </c>
      <c r="U36" s="93">
        <f t="shared" si="36"/>
        <v>0</v>
      </c>
      <c r="V36" s="93">
        <f t="shared" si="37"/>
        <v>0</v>
      </c>
      <c r="W36" s="99"/>
      <c r="X36" s="100">
        <f t="shared" si="38"/>
        <v>0</v>
      </c>
      <c r="Y36" s="100">
        <f t="shared" si="39"/>
        <v>1</v>
      </c>
      <c r="Z36" s="100">
        <f t="shared" si="40"/>
        <v>0</v>
      </c>
      <c r="AA36" s="93">
        <f t="shared" si="41"/>
        <v>34</v>
      </c>
      <c r="AB36" s="98">
        <f>VLOOKUP(AA36,Table!$K$8:$M$73,2)</f>
        <v>0.8638804148871263</v>
      </c>
      <c r="AC36" s="98">
        <f>VLOOKUP(AA36,Table!$K$8:$M$73,3)</f>
        <v>0.93171888401190661</v>
      </c>
      <c r="AD36" s="93">
        <f t="shared" si="42"/>
        <v>0</v>
      </c>
      <c r="AG36" s="104">
        <f t="shared" si="43"/>
        <v>0.01</v>
      </c>
      <c r="AH36" s="103">
        <f t="shared" si="44"/>
        <v>1983</v>
      </c>
      <c r="AI36" s="103">
        <f t="shared" si="45"/>
        <v>65</v>
      </c>
    </row>
    <row r="37" spans="1:35" s="103" customFormat="1" ht="13.2" x14ac:dyDescent="0.25">
      <c r="A37" s="88"/>
      <c r="B37" s="89">
        <v>25290</v>
      </c>
      <c r="C37" s="90" t="s">
        <v>14</v>
      </c>
      <c r="D37" s="89">
        <v>37530</v>
      </c>
      <c r="E37" s="89"/>
      <c r="F37" s="91">
        <v>6007</v>
      </c>
      <c r="G37" s="91">
        <v>3610.9</v>
      </c>
      <c r="H37" s="92">
        <f t="shared" si="23"/>
        <v>47.761806981519506</v>
      </c>
      <c r="I37" s="92">
        <f t="shared" si="24"/>
        <v>65</v>
      </c>
      <c r="J37" s="92">
        <f t="shared" si="25"/>
        <v>65</v>
      </c>
      <c r="K37" s="93">
        <f t="shared" si="26"/>
        <v>14.249863113706882</v>
      </c>
      <c r="L37" s="93">
        <f t="shared" si="27"/>
        <v>17.238193018480494</v>
      </c>
      <c r="M37" s="93">
        <f t="shared" si="28"/>
        <v>6</v>
      </c>
      <c r="N37" s="105">
        <f t="shared" si="29"/>
        <v>1</v>
      </c>
      <c r="O37" s="96">
        <f t="shared" si="30"/>
        <v>0.88417305870965723</v>
      </c>
      <c r="P37" s="96">
        <f t="shared" si="31"/>
        <v>0.90970940830288927</v>
      </c>
      <c r="Q37" s="98">
        <f t="shared" si="32"/>
        <v>1.6645259004904633</v>
      </c>
      <c r="R37" s="98">
        <f t="shared" si="33"/>
        <v>0.71080189861832888</v>
      </c>
      <c r="S37" s="98">
        <f t="shared" si="34"/>
        <v>0.45254819966928805</v>
      </c>
      <c r="T37" s="98">
        <f t="shared" si="35"/>
        <v>0.43066932711484263</v>
      </c>
      <c r="U37" s="93">
        <f t="shared" si="36"/>
        <v>1.6011153654070251</v>
      </c>
      <c r="V37" s="93">
        <f t="shared" si="37"/>
        <v>24852.807127547068</v>
      </c>
      <c r="W37" s="99"/>
      <c r="X37" s="100">
        <f t="shared" si="38"/>
        <v>0</v>
      </c>
      <c r="Y37" s="100">
        <f t="shared" si="39"/>
        <v>0</v>
      </c>
      <c r="Z37" s="100">
        <f t="shared" si="40"/>
        <v>0</v>
      </c>
      <c r="AA37" s="93">
        <f t="shared" si="41"/>
        <v>48</v>
      </c>
      <c r="AB37" s="98">
        <f>VLOOKUP(AA37,Table!$K$8:$M$73,2)</f>
        <v>0.88417305870965723</v>
      </c>
      <c r="AC37" s="98">
        <f>VLOOKUP(AA37,Table!$K$8:$M$73,3)</f>
        <v>0.94260922825643123</v>
      </c>
      <c r="AD37" s="93">
        <f t="shared" si="42"/>
        <v>15522.183887873158</v>
      </c>
      <c r="AG37" s="104">
        <f t="shared" si="43"/>
        <v>5.4745180033071205E-3</v>
      </c>
      <c r="AH37" s="103">
        <f t="shared" si="44"/>
        <v>1969</v>
      </c>
      <c r="AI37" s="103">
        <f t="shared" si="45"/>
        <v>65</v>
      </c>
    </row>
    <row r="38" spans="1:35" s="103" customFormat="1" ht="13.2" x14ac:dyDescent="0.25">
      <c r="A38" s="88"/>
      <c r="B38" s="89">
        <v>25020</v>
      </c>
      <c r="C38" s="90" t="s">
        <v>14</v>
      </c>
      <c r="D38" s="89">
        <v>33910</v>
      </c>
      <c r="E38" s="89"/>
      <c r="F38" s="91">
        <f>3603+75</f>
        <v>3678</v>
      </c>
      <c r="G38" s="91">
        <v>2166.67</v>
      </c>
      <c r="H38" s="92">
        <f t="shared" si="23"/>
        <v>48.498994301039225</v>
      </c>
      <c r="I38" s="92">
        <f t="shared" si="24"/>
        <v>65</v>
      </c>
      <c r="J38" s="92">
        <f t="shared" si="25"/>
        <v>65</v>
      </c>
      <c r="K38" s="93">
        <f t="shared" si="26"/>
        <v>24.159548839246607</v>
      </c>
      <c r="L38" s="93">
        <f t="shared" si="27"/>
        <v>16.501005698960775</v>
      </c>
      <c r="M38" s="93">
        <f t="shared" si="28"/>
        <v>6</v>
      </c>
      <c r="N38" s="105">
        <f t="shared" si="29"/>
        <v>1</v>
      </c>
      <c r="O38" s="96">
        <f t="shared" si="30"/>
        <v>0.88417305870965723</v>
      </c>
      <c r="P38" s="96">
        <f t="shared" si="31"/>
        <v>0.93510056835432442</v>
      </c>
      <c r="Q38" s="98">
        <f t="shared" si="32"/>
        <v>1.6286475789269137</v>
      </c>
      <c r="R38" s="98">
        <f t="shared" si="33"/>
        <v>0.72125446836759766</v>
      </c>
      <c r="S38" s="98">
        <f t="shared" si="34"/>
        <v>0.5941765702320827</v>
      </c>
      <c r="T38" s="98">
        <f t="shared" si="35"/>
        <v>0.5770676859920385</v>
      </c>
      <c r="U38" s="93">
        <f t="shared" si="36"/>
        <v>1.5890891789015771</v>
      </c>
      <c r="V38" s="93">
        <f t="shared" si="37"/>
        <v>20236.621153722528</v>
      </c>
      <c r="W38" s="99"/>
      <c r="X38" s="100">
        <f t="shared" si="38"/>
        <v>0</v>
      </c>
      <c r="Y38" s="100">
        <f t="shared" si="39"/>
        <v>0</v>
      </c>
      <c r="Z38" s="100">
        <f t="shared" si="40"/>
        <v>0</v>
      </c>
      <c r="AA38" s="93">
        <f t="shared" si="41"/>
        <v>48</v>
      </c>
      <c r="AB38" s="98">
        <f>VLOOKUP(AA38,Table!$K$8:$M$73,2)</f>
        <v>0.88417305870965723</v>
      </c>
      <c r="AC38" s="98">
        <f>VLOOKUP(AA38,Table!$K$8:$M$73,3)</f>
        <v>0.94260922825643123</v>
      </c>
      <c r="AD38" s="93">
        <f t="shared" si="42"/>
        <v>12734.729694472306</v>
      </c>
      <c r="AG38" s="104">
        <f t="shared" si="43"/>
        <v>4.0582342976791738E-3</v>
      </c>
      <c r="AH38" s="103">
        <f t="shared" si="44"/>
        <v>1968</v>
      </c>
      <c r="AI38" s="103">
        <f t="shared" si="45"/>
        <v>65</v>
      </c>
    </row>
    <row r="39" spans="1:35" s="103" customFormat="1" ht="13.2" x14ac:dyDescent="0.25">
      <c r="A39" s="88"/>
      <c r="B39" s="89">
        <v>29689</v>
      </c>
      <c r="C39" s="90" t="s">
        <v>15</v>
      </c>
      <c r="D39" s="89">
        <v>42317</v>
      </c>
      <c r="E39" s="89"/>
      <c r="F39" s="91">
        <v>3204</v>
      </c>
      <c r="G39" s="91">
        <v>2024.15</v>
      </c>
      <c r="H39" s="92">
        <f t="shared" si="23"/>
        <v>35.718001368925393</v>
      </c>
      <c r="I39" s="92">
        <f t="shared" si="24"/>
        <v>65</v>
      </c>
      <c r="J39" s="92">
        <f t="shared" si="25"/>
        <v>65</v>
      </c>
      <c r="K39" s="93">
        <f t="shared" si="26"/>
        <v>1.1436388508891928</v>
      </c>
      <c r="L39" s="93">
        <f t="shared" si="27"/>
        <v>29.281998631074607</v>
      </c>
      <c r="M39" s="93">
        <f t="shared" si="28"/>
        <v>6</v>
      </c>
      <c r="N39" s="105">
        <f t="shared" si="29"/>
        <v>1</v>
      </c>
      <c r="O39" s="96">
        <f t="shared" si="30"/>
        <v>0.93249043151591049</v>
      </c>
      <c r="P39" s="96">
        <f t="shared" si="31"/>
        <v>0.75338541994920005</v>
      </c>
      <c r="Q39" s="98">
        <f t="shared" si="32"/>
        <v>2.3762908527285509</v>
      </c>
      <c r="R39" s="98">
        <f t="shared" si="33"/>
        <v>0.55997647482388624</v>
      </c>
      <c r="S39" s="98">
        <f t="shared" si="34"/>
        <v>3.7587999645599453E-2</v>
      </c>
      <c r="T39" s="98">
        <f t="shared" si="35"/>
        <v>3.5138254810095415E-2</v>
      </c>
      <c r="U39" s="93">
        <f t="shared" si="36"/>
        <v>1.6317571785268414</v>
      </c>
      <c r="V39" s="93">
        <f t="shared" si="37"/>
        <v>1102.2484013124019</v>
      </c>
      <c r="W39" s="99"/>
      <c r="X39" s="100">
        <f t="shared" si="38"/>
        <v>0</v>
      </c>
      <c r="Y39" s="100">
        <f t="shared" si="39"/>
        <v>0</v>
      </c>
      <c r="Z39" s="100">
        <f t="shared" si="40"/>
        <v>0</v>
      </c>
      <c r="AA39" s="93">
        <f t="shared" si="41"/>
        <v>36</v>
      </c>
      <c r="AB39" s="98">
        <f>VLOOKUP(AA39,Table!$K$8:$M$73,2)</f>
        <v>0.86557918224703756</v>
      </c>
      <c r="AC39" s="98">
        <f>VLOOKUP(AA39,Table!$K$8:$M$73,3)</f>
        <v>0.93249043151591049</v>
      </c>
      <c r="AD39" s="93">
        <f t="shared" si="42"/>
        <v>675.49781046927421</v>
      </c>
      <c r="AG39" s="104">
        <f t="shared" si="43"/>
        <v>9.6241200035440053E-3</v>
      </c>
      <c r="AH39" s="103">
        <f t="shared" si="44"/>
        <v>1981</v>
      </c>
      <c r="AI39" s="103">
        <f t="shared" si="45"/>
        <v>65</v>
      </c>
    </row>
    <row r="40" spans="1:35" s="103" customFormat="1" ht="13.2" x14ac:dyDescent="0.25">
      <c r="A40" s="88"/>
      <c r="B40" s="89">
        <v>31158</v>
      </c>
      <c r="C40" s="90" t="s">
        <v>15</v>
      </c>
      <c r="D40" s="89">
        <v>42032</v>
      </c>
      <c r="E40" s="89"/>
      <c r="F40" s="91">
        <v>3122</v>
      </c>
      <c r="G40" s="91">
        <v>1891.44</v>
      </c>
      <c r="H40" s="92">
        <f t="shared" si="23"/>
        <v>31.696098562628336</v>
      </c>
      <c r="I40" s="92">
        <f t="shared" si="24"/>
        <v>65</v>
      </c>
      <c r="J40" s="92">
        <f t="shared" si="25"/>
        <v>65</v>
      </c>
      <c r="K40" s="93">
        <f t="shared" si="26"/>
        <v>1.923392612859097</v>
      </c>
      <c r="L40" s="93">
        <f t="shared" si="27"/>
        <v>33.303901437371664</v>
      </c>
      <c r="M40" s="93">
        <f t="shared" si="28"/>
        <v>6</v>
      </c>
      <c r="N40" s="105">
        <f t="shared" si="29"/>
        <v>1</v>
      </c>
      <c r="O40" s="96">
        <f t="shared" si="30"/>
        <v>0.93104247960716702</v>
      </c>
      <c r="P40" s="96">
        <f t="shared" si="31"/>
        <v>0.72880212305506231</v>
      </c>
      <c r="Q40" s="98">
        <f t="shared" si="32"/>
        <v>2.6762684007202262</v>
      </c>
      <c r="R40" s="98">
        <f t="shared" si="33"/>
        <v>0.51710736971361848</v>
      </c>
      <c r="S40" s="98">
        <f t="shared" si="34"/>
        <v>5.4599499187094037E-2</v>
      </c>
      <c r="T40" s="98">
        <f t="shared" si="35"/>
        <v>5.1271754414208066E-2</v>
      </c>
      <c r="U40" s="93">
        <f t="shared" si="36"/>
        <v>1.6058424087123639</v>
      </c>
      <c r="V40" s="93">
        <f t="shared" si="37"/>
        <v>1542.2871867022038</v>
      </c>
      <c r="W40" s="99"/>
      <c r="X40" s="100">
        <f t="shared" si="38"/>
        <v>0</v>
      </c>
      <c r="Y40" s="100">
        <f t="shared" si="39"/>
        <v>0</v>
      </c>
      <c r="Z40" s="100">
        <f t="shared" si="40"/>
        <v>0</v>
      </c>
      <c r="AA40" s="93">
        <f t="shared" si="41"/>
        <v>32</v>
      </c>
      <c r="AB40" s="98">
        <f>VLOOKUP(AA40,Table!$K$8:$M$73,2)</f>
        <v>0.86239835954075261</v>
      </c>
      <c r="AC40" s="98">
        <f>VLOOKUP(AA40,Table!$K$8:$M$73,3)</f>
        <v>0.93104247960716702</v>
      </c>
      <c r="AD40" s="93">
        <f t="shared" si="42"/>
        <v>960.42250368694556</v>
      </c>
      <c r="AG40" s="104">
        <f t="shared" si="43"/>
        <v>9.4540050081290614E-3</v>
      </c>
      <c r="AH40" s="103">
        <f t="shared" si="44"/>
        <v>1985</v>
      </c>
      <c r="AI40" s="103">
        <f t="shared" si="45"/>
        <v>65</v>
      </c>
    </row>
    <row r="41" spans="1:35" s="103" customFormat="1" ht="13.2" x14ac:dyDescent="0.25">
      <c r="A41" s="88"/>
      <c r="B41" s="89">
        <v>32390</v>
      </c>
      <c r="C41" s="90" t="s">
        <v>15</v>
      </c>
      <c r="D41" s="89">
        <v>42491</v>
      </c>
      <c r="E41" s="89">
        <v>42748</v>
      </c>
      <c r="F41" s="108">
        <v>2846</v>
      </c>
      <c r="G41" s="108">
        <v>1682.18</v>
      </c>
      <c r="H41" s="92">
        <f t="shared" si="23"/>
        <v>28.321061078070425</v>
      </c>
      <c r="I41" s="92">
        <f t="shared" si="24"/>
        <v>65</v>
      </c>
      <c r="J41" s="92">
        <f t="shared" si="25"/>
        <v>65</v>
      </c>
      <c r="K41" s="93">
        <f t="shared" si="26"/>
        <v>0</v>
      </c>
      <c r="L41" s="93">
        <f t="shared" si="27"/>
        <v>36.678938921929571</v>
      </c>
      <c r="M41" s="93">
        <f t="shared" si="28"/>
        <v>6</v>
      </c>
      <c r="N41" s="105">
        <f t="shared" si="29"/>
        <v>1</v>
      </c>
      <c r="O41" s="96">
        <f t="shared" si="30"/>
        <v>0.92993604914648276</v>
      </c>
      <c r="P41" s="96">
        <f t="shared" si="31"/>
        <v>0.69167737379794936</v>
      </c>
      <c r="Q41" s="98">
        <f t="shared" si="32"/>
        <v>2.957030342384098</v>
      </c>
      <c r="R41" s="98">
        <f t="shared" si="33"/>
        <v>0.48367631962549473</v>
      </c>
      <c r="S41" s="98">
        <f t="shared" si="34"/>
        <v>0</v>
      </c>
      <c r="T41" s="98">
        <f t="shared" si="35"/>
        <v>0</v>
      </c>
      <c r="U41" s="93">
        <f t="shared" si="36"/>
        <v>1.5910681658468024</v>
      </c>
      <c r="V41" s="93">
        <f t="shared" si="37"/>
        <v>0</v>
      </c>
      <c r="W41" s="99"/>
      <c r="X41" s="100">
        <f t="shared" si="38"/>
        <v>1</v>
      </c>
      <c r="Y41" s="100">
        <f t="shared" si="39"/>
        <v>0</v>
      </c>
      <c r="Z41" s="100">
        <f t="shared" si="40"/>
        <v>0</v>
      </c>
      <c r="AA41" s="93">
        <f t="shared" si="41"/>
        <v>28</v>
      </c>
      <c r="AB41" s="98">
        <f>VLOOKUP(AA41,Table!$K$8:$M$73,2)</f>
        <v>0.8598495966640014</v>
      </c>
      <c r="AC41" s="98">
        <f>VLOOKUP(AA41,Table!$K$8:$M$73,3)</f>
        <v>0.92993604914648276</v>
      </c>
      <c r="AD41" s="93">
        <f t="shared" si="42"/>
        <v>0</v>
      </c>
      <c r="AG41" s="104">
        <f t="shared" si="43"/>
        <v>0.01</v>
      </c>
      <c r="AH41" s="103">
        <f t="shared" si="44"/>
        <v>1988</v>
      </c>
      <c r="AI41" s="103">
        <f t="shared" si="45"/>
        <v>65</v>
      </c>
    </row>
    <row r="42" spans="1:35" s="103" customFormat="1" ht="13.2" x14ac:dyDescent="0.25">
      <c r="A42" s="88"/>
      <c r="B42" s="89">
        <v>33675</v>
      </c>
      <c r="C42" s="90" t="s">
        <v>15</v>
      </c>
      <c r="D42" s="89">
        <v>42614</v>
      </c>
      <c r="E42" s="89">
        <v>42979</v>
      </c>
      <c r="F42" s="91">
        <v>2300</v>
      </c>
      <c r="G42" s="91">
        <v>1178.74</v>
      </c>
      <c r="H42" s="92">
        <f t="shared" si="23"/>
        <v>24.802890932982919</v>
      </c>
      <c r="I42" s="92">
        <f t="shared" si="24"/>
        <v>65</v>
      </c>
      <c r="J42" s="92">
        <f t="shared" si="25"/>
        <v>65</v>
      </c>
      <c r="K42" s="93">
        <f t="shared" si="26"/>
        <v>0</v>
      </c>
      <c r="L42" s="93">
        <f t="shared" si="27"/>
        <v>40.197109067017081</v>
      </c>
      <c r="M42" s="93">
        <f t="shared" si="28"/>
        <v>6</v>
      </c>
      <c r="N42" s="105">
        <f t="shared" si="29"/>
        <v>1</v>
      </c>
      <c r="O42" s="96">
        <f t="shared" si="30"/>
        <v>0.92927158182879455</v>
      </c>
      <c r="P42" s="96">
        <f t="shared" si="31"/>
        <v>0.66764782906532116</v>
      </c>
      <c r="Q42" s="98">
        <f t="shared" si="32"/>
        <v>3.2810989026907467</v>
      </c>
      <c r="R42" s="98">
        <f t="shared" si="33"/>
        <v>0.45112610380550039</v>
      </c>
      <c r="S42" s="98">
        <f t="shared" si="34"/>
        <v>0</v>
      </c>
      <c r="T42" s="98">
        <f t="shared" si="35"/>
        <v>0</v>
      </c>
      <c r="U42" s="93">
        <f t="shared" si="36"/>
        <v>1.512495652173913</v>
      </c>
      <c r="V42" s="93">
        <f t="shared" si="37"/>
        <v>0</v>
      </c>
      <c r="W42" s="99"/>
      <c r="X42" s="100">
        <f t="shared" si="38"/>
        <v>1</v>
      </c>
      <c r="Y42" s="100">
        <f t="shared" si="39"/>
        <v>0</v>
      </c>
      <c r="Z42" s="100">
        <f t="shared" si="40"/>
        <v>0</v>
      </c>
      <c r="AA42" s="93">
        <f t="shared" si="41"/>
        <v>25</v>
      </c>
      <c r="AB42" s="98">
        <f>VLOOKUP(AA42,Table!$K$8:$M$73,2)</f>
        <v>0.85814721658232063</v>
      </c>
      <c r="AC42" s="98">
        <f>VLOOKUP(AA42,Table!$K$8:$M$73,3)</f>
        <v>0.92927158182879455</v>
      </c>
      <c r="AD42" s="93">
        <f t="shared" si="42"/>
        <v>0</v>
      </c>
      <c r="AG42" s="104">
        <f t="shared" si="43"/>
        <v>1.0000000000000002E-2</v>
      </c>
      <c r="AH42" s="103">
        <f t="shared" si="44"/>
        <v>1992</v>
      </c>
      <c r="AI42" s="103">
        <f t="shared" si="45"/>
        <v>65</v>
      </c>
    </row>
    <row r="43" spans="1:35" s="103" customFormat="1" ht="13.2" x14ac:dyDescent="0.25">
      <c r="A43" s="88"/>
      <c r="B43" s="89">
        <v>25553</v>
      </c>
      <c r="C43" s="90" t="s">
        <v>15</v>
      </c>
      <c r="D43" s="89">
        <v>42552</v>
      </c>
      <c r="E43" s="89"/>
      <c r="F43" s="91">
        <v>4230</v>
      </c>
      <c r="G43" s="91">
        <v>2425.52</v>
      </c>
      <c r="H43" s="92">
        <f t="shared" si="23"/>
        <v>47.041752224503767</v>
      </c>
      <c r="I43" s="92">
        <f t="shared" si="24"/>
        <v>65</v>
      </c>
      <c r="J43" s="92">
        <f t="shared" si="25"/>
        <v>65</v>
      </c>
      <c r="K43" s="93">
        <f t="shared" si="26"/>
        <v>0.5</v>
      </c>
      <c r="L43" s="93">
        <f t="shared" si="27"/>
        <v>17.958247775496233</v>
      </c>
      <c r="M43" s="93">
        <f t="shared" si="28"/>
        <v>4</v>
      </c>
      <c r="N43" s="105">
        <f t="shared" si="29"/>
        <v>1</v>
      </c>
      <c r="O43" s="96">
        <f t="shared" si="30"/>
        <v>0.94119685649342044</v>
      </c>
      <c r="P43" s="96">
        <f t="shared" si="31"/>
        <v>0.83897581623160467</v>
      </c>
      <c r="Q43" s="98">
        <f t="shared" si="32"/>
        <v>1.7003333066854858</v>
      </c>
      <c r="R43" s="98">
        <f t="shared" si="33"/>
        <v>0.70073850873787802</v>
      </c>
      <c r="S43" s="98">
        <f t="shared" si="34"/>
        <v>2.7088161676091595E-2</v>
      </c>
      <c r="T43" s="98">
        <f t="shared" si="35"/>
        <v>2.548587154249073E-2</v>
      </c>
      <c r="U43" s="93">
        <f t="shared" si="36"/>
        <v>1.5734089834515368</v>
      </c>
      <c r="V43" s="93">
        <f t="shared" si="37"/>
        <v>678.48691107391164</v>
      </c>
      <c r="W43" s="99"/>
      <c r="X43" s="100">
        <f t="shared" si="38"/>
        <v>1</v>
      </c>
      <c r="Y43" s="100">
        <f t="shared" si="39"/>
        <v>0</v>
      </c>
      <c r="Z43" s="100">
        <f t="shared" si="40"/>
        <v>0</v>
      </c>
      <c r="AA43" s="93">
        <f t="shared" si="41"/>
        <v>47</v>
      </c>
      <c r="AB43" s="98">
        <f>VLOOKUP(AA43,Table!$K$8:$M$73,2)</f>
        <v>0.88167713144102533</v>
      </c>
      <c r="AC43" s="98">
        <f>VLOOKUP(AA43,Table!$K$8:$M$73,3)</f>
        <v>0.94119685649342044</v>
      </c>
      <c r="AD43" s="93">
        <f t="shared" si="42"/>
        <v>431.22094649894314</v>
      </c>
      <c r="AG43" s="104">
        <f t="shared" si="43"/>
        <v>9.7291183832390847E-3</v>
      </c>
      <c r="AH43" s="103">
        <f t="shared" si="44"/>
        <v>1969</v>
      </c>
      <c r="AI43" s="103">
        <f t="shared" si="45"/>
        <v>65</v>
      </c>
    </row>
    <row r="44" spans="1:35" s="103" customFormat="1" ht="13.2" x14ac:dyDescent="0.25">
      <c r="A44" s="88"/>
      <c r="B44" s="89">
        <v>29824</v>
      </c>
      <c r="C44" s="90" t="s">
        <v>15</v>
      </c>
      <c r="D44" s="89">
        <v>42562</v>
      </c>
      <c r="E44" s="89"/>
      <c r="F44" s="91">
        <v>2350</v>
      </c>
      <c r="G44" s="91">
        <v>780.53</v>
      </c>
      <c r="H44" s="92">
        <f t="shared" si="23"/>
        <v>35.348391512662559</v>
      </c>
      <c r="I44" s="92">
        <f t="shared" si="24"/>
        <v>65</v>
      </c>
      <c r="J44" s="92">
        <f t="shared" si="25"/>
        <v>65</v>
      </c>
      <c r="K44" s="93">
        <f t="shared" si="26"/>
        <v>0.47267759562841533</v>
      </c>
      <c r="L44" s="93">
        <f t="shared" si="27"/>
        <v>29.651608487337441</v>
      </c>
      <c r="M44" s="93">
        <f t="shared" si="28"/>
        <v>6</v>
      </c>
      <c r="N44" s="105">
        <f t="shared" si="29"/>
        <v>1</v>
      </c>
      <c r="O44" s="96">
        <f t="shared" si="30"/>
        <v>0.93209508908292538</v>
      </c>
      <c r="P44" s="96">
        <f t="shared" si="31"/>
        <v>0.7457913633261819</v>
      </c>
      <c r="Q44" s="98">
        <f t="shared" si="32"/>
        <v>2.4023946996722265</v>
      </c>
      <c r="R44" s="98">
        <f t="shared" si="33"/>
        <v>0.55589283194681904</v>
      </c>
      <c r="S44" s="98">
        <f t="shared" si="34"/>
        <v>1.5690914444465347E-2</v>
      </c>
      <c r="T44" s="98">
        <f t="shared" si="35"/>
        <v>1.4566702779109269E-2</v>
      </c>
      <c r="U44" s="93">
        <f t="shared" si="36"/>
        <v>1.3321404255319149</v>
      </c>
      <c r="V44" s="93">
        <f t="shared" si="37"/>
        <v>273.60900030650964</v>
      </c>
      <c r="W44" s="99"/>
      <c r="X44" s="100">
        <f t="shared" si="38"/>
        <v>1</v>
      </c>
      <c r="Y44" s="100">
        <f t="shared" si="39"/>
        <v>0</v>
      </c>
      <c r="Z44" s="100">
        <f t="shared" si="40"/>
        <v>0</v>
      </c>
      <c r="AA44" s="93">
        <f t="shared" si="41"/>
        <v>35</v>
      </c>
      <c r="AB44" s="98">
        <f>VLOOKUP(AA44,Table!$K$8:$M$73,2)</f>
        <v>0.86470696007979964</v>
      </c>
      <c r="AC44" s="98">
        <f>VLOOKUP(AA44,Table!$K$8:$M$73,3)</f>
        <v>0.93209508908292538</v>
      </c>
      <c r="AD44" s="93">
        <f t="shared" si="42"/>
        <v>205.39050918544069</v>
      </c>
      <c r="AG44" s="104">
        <f t="shared" si="43"/>
        <v>9.8430908555553476E-3</v>
      </c>
      <c r="AH44" s="103">
        <f t="shared" si="44"/>
        <v>1981</v>
      </c>
      <c r="AI44" s="103">
        <f t="shared" si="45"/>
        <v>65</v>
      </c>
    </row>
    <row r="45" spans="1:35" s="103" customFormat="1" ht="13.2" x14ac:dyDescent="0.25">
      <c r="A45" s="88"/>
      <c r="B45" s="89"/>
      <c r="C45" s="90"/>
      <c r="D45" s="89"/>
      <c r="E45" s="89"/>
      <c r="F45" s="91"/>
      <c r="G45" s="91"/>
      <c r="H45" s="92">
        <f t="shared" si="23"/>
        <v>0</v>
      </c>
      <c r="I45" s="92">
        <f t="shared" si="24"/>
        <v>61</v>
      </c>
      <c r="J45" s="92">
        <f t="shared" si="25"/>
        <v>61</v>
      </c>
      <c r="K45" s="93">
        <f t="shared" si="26"/>
        <v>0</v>
      </c>
      <c r="L45" s="93">
        <f t="shared" si="27"/>
        <v>61</v>
      </c>
      <c r="M45" s="93">
        <f t="shared" si="28"/>
        <v>6</v>
      </c>
      <c r="N45" s="105">
        <f t="shared" si="29"/>
        <v>1</v>
      </c>
      <c r="O45" s="96">
        <f t="shared" si="30"/>
        <v>0</v>
      </c>
      <c r="P45" s="96">
        <f t="shared" si="31"/>
        <v>0.54168507596685322</v>
      </c>
      <c r="Q45" s="98">
        <f t="shared" si="32"/>
        <v>6.068351197167102</v>
      </c>
      <c r="R45" s="98">
        <f t="shared" si="33"/>
        <v>0.29880614358732388</v>
      </c>
      <c r="S45" s="98">
        <f t="shared" si="34"/>
        <v>0</v>
      </c>
      <c r="T45" s="98">
        <f t="shared" si="35"/>
        <v>0</v>
      </c>
      <c r="U45" s="93">
        <f t="shared" si="36"/>
        <v>0</v>
      </c>
      <c r="V45" s="93">
        <f t="shared" si="37"/>
        <v>0</v>
      </c>
      <c r="W45" s="99"/>
      <c r="X45" s="100">
        <f t="shared" si="38"/>
        <v>0</v>
      </c>
      <c r="Y45" s="100">
        <f t="shared" si="39"/>
        <v>0</v>
      </c>
      <c r="Z45" s="100">
        <f t="shared" si="40"/>
        <v>0</v>
      </c>
      <c r="AA45" s="93">
        <f t="shared" si="41"/>
        <v>0</v>
      </c>
      <c r="AB45" s="98">
        <f>VLOOKUP(AA45,Table!$K$8:$M$73,2)</f>
        <v>0.84953999999999996</v>
      </c>
      <c r="AC45" s="98">
        <f>VLOOKUP(AA45,Table!$K$8:$M$73,3)</f>
        <v>0.92337999999999998</v>
      </c>
      <c r="AD45" s="93">
        <f t="shared" si="42"/>
        <v>0</v>
      </c>
      <c r="AG45" s="104">
        <f t="shared" si="43"/>
        <v>0.01</v>
      </c>
      <c r="AH45" s="103">
        <f t="shared" si="44"/>
        <v>1900</v>
      </c>
      <c r="AI45" s="103">
        <f t="shared" si="45"/>
        <v>61</v>
      </c>
    </row>
    <row r="46" spans="1:35" s="103" customFormat="1" ht="13.2" x14ac:dyDescent="0.25">
      <c r="A46" s="88"/>
      <c r="B46" s="89"/>
      <c r="C46" s="90"/>
      <c r="D46" s="89"/>
      <c r="E46" s="89"/>
      <c r="F46" s="91"/>
      <c r="G46" s="91"/>
      <c r="H46" s="92">
        <f t="shared" si="23"/>
        <v>0</v>
      </c>
      <c r="I46" s="92">
        <f t="shared" si="24"/>
        <v>61</v>
      </c>
      <c r="J46" s="92">
        <f t="shared" si="25"/>
        <v>61</v>
      </c>
      <c r="K46" s="93">
        <f t="shared" si="26"/>
        <v>0</v>
      </c>
      <c r="L46" s="93">
        <f t="shared" si="27"/>
        <v>61</v>
      </c>
      <c r="M46" s="93">
        <f t="shared" si="28"/>
        <v>6</v>
      </c>
      <c r="N46" s="105">
        <f t="shared" si="29"/>
        <v>1</v>
      </c>
      <c r="O46" s="96">
        <f t="shared" si="30"/>
        <v>0</v>
      </c>
      <c r="P46" s="96">
        <f t="shared" si="31"/>
        <v>0.54168507596685322</v>
      </c>
      <c r="Q46" s="98">
        <f t="shared" si="32"/>
        <v>6.068351197167102</v>
      </c>
      <c r="R46" s="98">
        <f t="shared" si="33"/>
        <v>0.29880614358732388</v>
      </c>
      <c r="S46" s="98">
        <f t="shared" si="34"/>
        <v>0</v>
      </c>
      <c r="T46" s="98">
        <f t="shared" si="35"/>
        <v>0</v>
      </c>
      <c r="U46" s="93">
        <f t="shared" si="36"/>
        <v>0</v>
      </c>
      <c r="V46" s="93">
        <f t="shared" si="37"/>
        <v>0</v>
      </c>
      <c r="W46" s="99"/>
      <c r="X46" s="100">
        <f t="shared" si="38"/>
        <v>0</v>
      </c>
      <c r="Y46" s="100">
        <f t="shared" si="39"/>
        <v>0</v>
      </c>
      <c r="Z46" s="100">
        <f t="shared" si="40"/>
        <v>0</v>
      </c>
      <c r="AA46" s="93">
        <f t="shared" si="41"/>
        <v>0</v>
      </c>
      <c r="AB46" s="98">
        <f>VLOOKUP(AA46,Table!$K$8:$M$73,2)</f>
        <v>0.84953999999999996</v>
      </c>
      <c r="AC46" s="98">
        <f>VLOOKUP(AA46,Table!$K$8:$M$73,3)</f>
        <v>0.92337999999999998</v>
      </c>
      <c r="AD46" s="93">
        <f t="shared" si="42"/>
        <v>0</v>
      </c>
      <c r="AG46" s="104">
        <f t="shared" si="43"/>
        <v>0.01</v>
      </c>
      <c r="AH46" s="103">
        <f t="shared" si="44"/>
        <v>1900</v>
      </c>
      <c r="AI46" s="103">
        <f t="shared" si="45"/>
        <v>61</v>
      </c>
    </row>
    <row r="47" spans="1:35" s="103" customFormat="1" ht="13.2" x14ac:dyDescent="0.25">
      <c r="A47" s="88"/>
      <c r="B47" s="89"/>
      <c r="C47" s="90"/>
      <c r="D47" s="89"/>
      <c r="E47" s="89"/>
      <c r="F47" s="91"/>
      <c r="G47" s="91"/>
      <c r="H47" s="92">
        <f t="shared" ref="H47" si="46">IF(B47&gt;0,YEARFRAC(B47,$V$8,1),0)</f>
        <v>0</v>
      </c>
      <c r="I47" s="92">
        <f t="shared" ref="I47" si="47">IF(YEAR(B47)&gt;=$N$5,$N$6,IF(YEAR(B47)&gt;=$M$5,$M$6,IF(YEAR(B47)=$L$5,$L$6,IF(YEAR(B47)=$K$5,$K$6,$J$6))))</f>
        <v>61</v>
      </c>
      <c r="J47" s="92">
        <f t="shared" ref="J47" si="48">IF(H47&gt;I47,$F$5,I47)</f>
        <v>61</v>
      </c>
      <c r="K47" s="93">
        <f t="shared" ref="K47" si="49">IF(D47=0,0,IF((YEARFRAC(E47,$V$8,1))&gt;1,YEARFRAC(D47,$V$8,1),0))</f>
        <v>0</v>
      </c>
      <c r="L47" s="93">
        <f t="shared" ref="L47" si="50">J47-H47</f>
        <v>61</v>
      </c>
      <c r="M47" s="93">
        <f t="shared" ref="M47" si="51">IF((L47+K47)&gt;=$V$5,$V$6,IF((L47+K47)&gt;=$U$5,$U$6,IF((L47+K47)&gt;=$T$5,$T$6,IF((L47+K47)&gt;=$S$5,$S$6,IF((L47+K47)&gt;=$R$5,$R$6,IF((L47+K47)&gt;=$Q$5,$Q$6,0))))))</f>
        <v>6</v>
      </c>
      <c r="N47" s="105">
        <f t="shared" ref="N47" si="52">IF(L47+K47&gt;$Q$5,1,0)</f>
        <v>1</v>
      </c>
      <c r="O47" s="96">
        <f t="shared" ref="O47" si="53">IF(C47="F",AC47,IF(C47="H",AB47,0))</f>
        <v>0</v>
      </c>
      <c r="P47" s="96">
        <f t="shared" ref="P47" si="54">IF(L47=0,0,(1-($F$6/(L47+K47)*L47))^L47)</f>
        <v>0.54168507596685322</v>
      </c>
      <c r="Q47" s="98">
        <f t="shared" ref="Q47" si="55">IF(L47=0,0,(1+$C$6)^L47)</f>
        <v>6.068351197167102</v>
      </c>
      <c r="R47" s="98">
        <f t="shared" ref="R47" si="56">IF(L47=0,0,(1+$C$5)^-L47)</f>
        <v>0.29880614358732388</v>
      </c>
      <c r="S47" s="98">
        <f t="shared" ref="S47" si="57">IF((K47*L47)=0,0,K47/(K47+L47))</f>
        <v>0</v>
      </c>
      <c r="T47" s="98">
        <f t="shared" ref="T47" si="58">S47*R47*Q47*P47*O47*N47</f>
        <v>0</v>
      </c>
      <c r="U47" s="93">
        <f t="shared" ref="U47" si="59">IF(G47=0,0,(G47/F47)+1)</f>
        <v>0</v>
      </c>
      <c r="V47" s="93">
        <f t="shared" ref="V47" si="60">F47*M47*T47*U47</f>
        <v>0</v>
      </c>
      <c r="W47" s="99"/>
      <c r="X47" s="100">
        <f t="shared" ref="X47" si="61">IF(YEARFRAC(D47,$V$8,1)&gt;1,0,1)</f>
        <v>0</v>
      </c>
      <c r="Y47" s="100">
        <f t="shared" ref="Y47" si="62">IF(YEARFRAC(E47,$V$8,1)&lt;1,IF(E47&lt;=$V$8,1,0),0)</f>
        <v>0</v>
      </c>
      <c r="Z47" s="100">
        <f t="shared" ref="Z47" si="63">IF(A47&lt;&gt;0,IF(E47=0,1,IF(E47&gt;$V$8,1,0)),0)</f>
        <v>0</v>
      </c>
      <c r="AA47" s="93">
        <f t="shared" ref="AA47" si="64">ROUND(H47,0)</f>
        <v>0</v>
      </c>
      <c r="AB47" s="98">
        <f>VLOOKUP(AA47,Table!$K$8:$M$73,2)</f>
        <v>0.84953999999999996</v>
      </c>
      <c r="AC47" s="98">
        <f>VLOOKUP(AA47,Table!$K$8:$M$73,3)</f>
        <v>0.92337999999999998</v>
      </c>
      <c r="AD47" s="93">
        <f t="shared" ref="AD47" si="65">IF(U47=0,0,V47/U47)</f>
        <v>0</v>
      </c>
      <c r="AG47" s="104">
        <f t="shared" ref="AG47" si="66">$F$6/(L47+K47)*L47</f>
        <v>0.01</v>
      </c>
      <c r="AH47" s="103">
        <f t="shared" ref="AH47" si="67">YEAR(B47)</f>
        <v>1900</v>
      </c>
      <c r="AI47" s="103">
        <f t="shared" ref="AI47" si="68">L47+H47</f>
        <v>61</v>
      </c>
    </row>
    <row r="48" spans="1:35" s="103" customFormat="1" ht="13.2" x14ac:dyDescent="0.25">
      <c r="A48" s="88"/>
      <c r="B48" s="89"/>
      <c r="C48" s="109"/>
      <c r="D48" s="89"/>
      <c r="E48" s="89"/>
      <c r="F48" s="91"/>
      <c r="G48" s="91"/>
      <c r="H48" s="110">
        <f t="shared" si="0"/>
        <v>0</v>
      </c>
      <c r="I48" s="111">
        <f t="shared" si="1"/>
        <v>61</v>
      </c>
      <c r="J48" s="111">
        <f t="shared" si="19"/>
        <v>61</v>
      </c>
      <c r="K48" s="111">
        <f t="shared" si="2"/>
        <v>0</v>
      </c>
      <c r="L48" s="111">
        <f t="shared" si="3"/>
        <v>61</v>
      </c>
      <c r="M48" s="111">
        <f t="shared" si="4"/>
        <v>6</v>
      </c>
      <c r="N48" s="112">
        <f t="shared" si="5"/>
        <v>1</v>
      </c>
      <c r="O48" s="113">
        <f t="shared" si="20"/>
        <v>0</v>
      </c>
      <c r="P48" s="113">
        <f t="shared" si="6"/>
        <v>0.54168507596685322</v>
      </c>
      <c r="Q48" s="114">
        <f t="shared" si="7"/>
        <v>6.068351197167102</v>
      </c>
      <c r="R48" s="114">
        <f t="shared" si="8"/>
        <v>0.29880614358732388</v>
      </c>
      <c r="S48" s="114">
        <f t="shared" si="9"/>
        <v>0</v>
      </c>
      <c r="T48" s="114">
        <f t="shared" si="10"/>
        <v>0</v>
      </c>
      <c r="U48" s="111">
        <f t="shared" si="11"/>
        <v>0</v>
      </c>
      <c r="V48" s="93">
        <f t="shared" si="12"/>
        <v>0</v>
      </c>
      <c r="W48" s="99"/>
      <c r="X48" s="115">
        <f t="shared" si="13"/>
        <v>0</v>
      </c>
      <c r="Y48" s="115">
        <f t="shared" si="14"/>
        <v>0</v>
      </c>
      <c r="Z48" s="115">
        <f t="shared" si="15"/>
        <v>0</v>
      </c>
      <c r="AA48" s="111">
        <f>ROUND(H48,0)</f>
        <v>0</v>
      </c>
      <c r="AB48" s="114">
        <f>VLOOKUP(AA48,Table!$K$8:$M$73,2)</f>
        <v>0.84953999999999996</v>
      </c>
      <c r="AC48" s="114">
        <f>VLOOKUP(AA48,Table!$K$8:$M$73,3)</f>
        <v>0.92337999999999998</v>
      </c>
      <c r="AD48" s="93">
        <f t="shared" si="17"/>
        <v>0</v>
      </c>
      <c r="AG48" s="104">
        <f t="shared" si="18"/>
        <v>0.01</v>
      </c>
      <c r="AH48" s="103">
        <f t="shared" si="21"/>
        <v>1900</v>
      </c>
      <c r="AI48" s="103">
        <f t="shared" si="22"/>
        <v>61</v>
      </c>
    </row>
    <row r="49" spans="1:30" s="103" customFormat="1" ht="13.2" x14ac:dyDescent="0.25">
      <c r="A49" s="111" t="s">
        <v>64</v>
      </c>
      <c r="B49" s="116">
        <f>Z49</f>
        <v>0</v>
      </c>
      <c r="C49" s="93"/>
      <c r="D49" s="116">
        <f>X49</f>
        <v>4</v>
      </c>
      <c r="E49" s="116">
        <f>Y49</f>
        <v>3</v>
      </c>
      <c r="F49" s="117">
        <f>SUM(F11:F48)</f>
        <v>106601</v>
      </c>
      <c r="G49" s="117">
        <f>SUM(G11:G48)</f>
        <v>62948.11</v>
      </c>
      <c r="N49" s="118"/>
      <c r="O49" s="119"/>
      <c r="V49" s="117">
        <f>SUM(V11:V48)</f>
        <v>207793.17806135296</v>
      </c>
      <c r="W49" s="99"/>
      <c r="X49" s="115">
        <f>SUM(X11:X48)</f>
        <v>4</v>
      </c>
      <c r="Y49" s="115">
        <f>SUM(Y11:Y48)</f>
        <v>3</v>
      </c>
      <c r="Z49" s="115">
        <f>SUM(Z11:Z48)</f>
        <v>0</v>
      </c>
      <c r="AD49" s="117">
        <f>SUM(AD11:AD48)</f>
        <v>129953.21950591038</v>
      </c>
    </row>
    <row r="50" spans="1:30" s="103" customFormat="1" ht="13.2" x14ac:dyDescent="0.25">
      <c r="N50" s="120"/>
      <c r="O50" s="99"/>
      <c r="U50" s="121" t="s">
        <v>65</v>
      </c>
      <c r="V50" s="94">
        <f>AD49</f>
        <v>129953.21950591038</v>
      </c>
      <c r="W50" s="99"/>
      <c r="Y50" s="122"/>
    </row>
    <row r="51" spans="1:30" s="126" customFormat="1" x14ac:dyDescent="0.25">
      <c r="A51" s="123" t="s">
        <v>66</v>
      </c>
      <c r="B51" s="124" t="s">
        <v>67</v>
      </c>
      <c r="C51" s="125"/>
      <c r="D51" s="125"/>
      <c r="E51" s="125"/>
      <c r="G51" s="127"/>
      <c r="H51" s="128"/>
      <c r="I51" s="128"/>
      <c r="J51" s="128"/>
      <c r="K51" s="128"/>
      <c r="U51" s="126" t="s">
        <v>68</v>
      </c>
      <c r="V51" s="129">
        <f>V49-V50</f>
        <v>77839.958555442572</v>
      </c>
    </row>
    <row r="52" spans="1:30" s="81" customFormat="1" ht="14.4" hidden="1" x14ac:dyDescent="0.25">
      <c r="A52" s="80"/>
      <c r="B52" s="80"/>
      <c r="C52" s="80"/>
      <c r="D52" s="80"/>
      <c r="E52" s="80"/>
      <c r="F52" s="80"/>
      <c r="G52" s="82"/>
      <c r="H52" s="83"/>
      <c r="I52" s="83"/>
      <c r="J52" s="83"/>
      <c r="K52" s="83"/>
    </row>
    <row r="53" spans="1:30" s="86" customFormat="1" ht="1.5" hidden="1" customHeight="1" x14ac:dyDescent="0.25">
      <c r="A53" s="84"/>
      <c r="B53" s="84"/>
      <c r="C53" s="84"/>
      <c r="D53" s="84"/>
      <c r="E53" s="84"/>
      <c r="F53" s="85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</row>
    <row r="54" spans="1:30" s="86" customFormat="1" ht="12" hidden="1" customHeight="1" x14ac:dyDescent="0.25">
      <c r="A54" s="135" t="s">
        <v>69</v>
      </c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</row>
    <row r="55" spans="1:30" s="86" customFormat="1" ht="12" hidden="1" customHeight="1" x14ac:dyDescent="0.25">
      <c r="A55" s="134" t="s">
        <v>70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</row>
    <row r="56" spans="1:30" hidden="1" x14ac:dyDescent="0.25"/>
  </sheetData>
  <sheetProtection algorithmName="SHA-512" hashValue="stDF+0rcBubSRzLn5LGiYr2TAYnWPhhBixcfQfnSS3stU7pixTRoJ6RpFk6ekuLL+ihMp8Gu+KR5gixRbTXEqg==" saltValue="/S0OvWNzNbR789Ip6UGYVg==" spinCount="100000" sheet="1" objects="1" scenarios="1" formatCells="0" formatColumns="0" formatRows="0"/>
  <mergeCells count="9">
    <mergeCell ref="AD9:AD10"/>
    <mergeCell ref="A55:V55"/>
    <mergeCell ref="A54:V54"/>
    <mergeCell ref="A3:V3"/>
    <mergeCell ref="F9:G9"/>
    <mergeCell ref="H9:L9"/>
    <mergeCell ref="M9:N9"/>
    <mergeCell ref="U9:U10"/>
    <mergeCell ref="V9:V10"/>
  </mergeCells>
  <printOptions horizontalCentered="1" verticalCentered="1"/>
  <pageMargins left="0.19685039370078741" right="0.19685039370078741" top="0.39370078740157483" bottom="0" header="0.19685039370078741" footer="0"/>
  <pageSetup paperSize="8" scale="94" orientation="landscape" r:id="rId1"/>
  <headerFooter>
    <oddHeader>&amp;L&amp;F-&amp;A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14"/>
  <sheetViews>
    <sheetView showGridLines="0" topLeftCell="A51" workbookViewId="0">
      <selection activeCell="I71" sqref="I71"/>
    </sheetView>
  </sheetViews>
  <sheetFormatPr baseColWidth="10" defaultColWidth="11.44140625" defaultRowHeight="13.2" x14ac:dyDescent="0.25"/>
  <cols>
    <col min="1" max="1" width="6.33203125" style="1" customWidth="1"/>
    <col min="2" max="10" width="9.33203125" style="27" customWidth="1"/>
    <col min="11" max="11" width="4" style="1" bestFit="1" customWidth="1"/>
    <col min="12" max="12" width="10.5546875" style="1" bestFit="1" customWidth="1"/>
    <col min="13" max="13" width="10.109375" style="1" customWidth="1"/>
    <col min="14" max="16384" width="11.44140625" style="1"/>
  </cols>
  <sheetData>
    <row r="1" spans="1:13" ht="14.4" customHeight="1" x14ac:dyDescent="0.25">
      <c r="A1" s="156" t="s">
        <v>90</v>
      </c>
      <c r="B1" s="156"/>
      <c r="C1" s="156"/>
      <c r="D1" s="156"/>
      <c r="E1" s="156"/>
      <c r="F1" s="156"/>
      <c r="G1" s="156"/>
      <c r="H1" s="156"/>
      <c r="I1" s="156"/>
      <c r="J1" s="156"/>
      <c r="L1" s="146" t="s">
        <v>0</v>
      </c>
      <c r="M1" s="147"/>
    </row>
    <row r="2" spans="1:13" s="2" customFormat="1" ht="12" x14ac:dyDescent="0.25">
      <c r="B2" s="3" t="s">
        <v>89</v>
      </c>
      <c r="C2" s="4"/>
      <c r="D2" s="4"/>
      <c r="E2" s="4"/>
      <c r="F2" s="4"/>
      <c r="G2" s="2" t="s">
        <v>1</v>
      </c>
      <c r="H2" s="4"/>
      <c r="I2" s="4"/>
      <c r="J2" s="4"/>
      <c r="L2" s="148"/>
      <c r="M2" s="149"/>
    </row>
    <row r="3" spans="1:13" s="2" customFormat="1" ht="11.4" x14ac:dyDescent="0.2">
      <c r="B3" s="2" t="s">
        <v>2</v>
      </c>
      <c r="C3" s="5"/>
      <c r="D3" s="5"/>
      <c r="E3" s="5"/>
      <c r="F3" s="5"/>
      <c r="G3" s="5"/>
      <c r="H3" s="5"/>
      <c r="I3" s="5"/>
      <c r="J3" s="5"/>
      <c r="L3" s="148"/>
      <c r="M3" s="149"/>
    </row>
    <row r="4" spans="1:13" s="2" customFormat="1" ht="11.4" x14ac:dyDescent="0.2">
      <c r="B4" s="2" t="s">
        <v>3</v>
      </c>
      <c r="C4" s="5"/>
      <c r="D4" s="5"/>
      <c r="E4" s="5"/>
      <c r="F4" s="5"/>
      <c r="G4" s="5"/>
      <c r="H4" s="5"/>
      <c r="I4" s="5"/>
      <c r="J4" s="5"/>
      <c r="L4" s="148"/>
      <c r="M4" s="149"/>
    </row>
    <row r="5" spans="1:13" s="2" customFormat="1" ht="11.4" x14ac:dyDescent="0.2">
      <c r="B5" s="2" t="s">
        <v>4</v>
      </c>
      <c r="C5" s="5"/>
      <c r="D5" s="5"/>
      <c r="E5" s="5"/>
      <c r="F5" s="5"/>
      <c r="G5" s="5"/>
      <c r="H5" s="5"/>
      <c r="I5" s="5"/>
      <c r="J5" s="5"/>
      <c r="L5" s="150"/>
      <c r="M5" s="151"/>
    </row>
    <row r="6" spans="1:13" x14ac:dyDescent="0.25">
      <c r="A6" s="6" t="s">
        <v>5</v>
      </c>
      <c r="B6" s="146" t="s">
        <v>6</v>
      </c>
      <c r="C6" s="152"/>
      <c r="D6" s="147"/>
      <c r="E6" s="146" t="s">
        <v>7</v>
      </c>
      <c r="F6" s="152"/>
      <c r="G6" s="147"/>
      <c r="H6" s="146" t="s">
        <v>8</v>
      </c>
      <c r="I6" s="152"/>
      <c r="J6" s="147"/>
      <c r="L6" s="153" t="s">
        <v>9</v>
      </c>
      <c r="M6" s="154"/>
    </row>
    <row r="7" spans="1:13" x14ac:dyDescent="0.25">
      <c r="A7" s="7" t="s">
        <v>10</v>
      </c>
      <c r="B7" s="8" t="s">
        <v>11</v>
      </c>
      <c r="C7" s="9" t="s">
        <v>12</v>
      </c>
      <c r="D7" s="8" t="s">
        <v>13</v>
      </c>
      <c r="E7" s="10" t="s">
        <v>11</v>
      </c>
      <c r="F7" s="8" t="s">
        <v>12</v>
      </c>
      <c r="G7" s="11" t="s">
        <v>13</v>
      </c>
      <c r="H7" s="10" t="s">
        <v>11</v>
      </c>
      <c r="I7" s="8" t="s">
        <v>12</v>
      </c>
      <c r="J7" s="11" t="s">
        <v>13</v>
      </c>
      <c r="L7" s="12" t="s">
        <v>14</v>
      </c>
      <c r="M7" s="12" t="s">
        <v>15</v>
      </c>
    </row>
    <row r="8" spans="1:13" x14ac:dyDescent="0.25">
      <c r="A8" s="13">
        <v>0</v>
      </c>
      <c r="B8" s="14">
        <v>100000</v>
      </c>
      <c r="C8" s="14">
        <v>398</v>
      </c>
      <c r="D8" s="15">
        <v>79.451999999999998</v>
      </c>
      <c r="E8" s="14">
        <v>100000</v>
      </c>
      <c r="F8" s="14">
        <v>334</v>
      </c>
      <c r="G8" s="15">
        <v>85.399000000000001</v>
      </c>
      <c r="H8" s="14">
        <v>100000</v>
      </c>
      <c r="I8" s="14">
        <v>367</v>
      </c>
      <c r="J8" s="15">
        <v>82.354200000000006</v>
      </c>
      <c r="K8" s="16">
        <f t="shared" ref="K8:K71" si="0">A8</f>
        <v>0</v>
      </c>
      <c r="L8" s="17">
        <f>B$73/B8</f>
        <v>0.84953999999999996</v>
      </c>
      <c r="M8" s="17">
        <f>E$73/E8</f>
        <v>0.92337999999999998</v>
      </c>
    </row>
    <row r="9" spans="1:13" x14ac:dyDescent="0.25">
      <c r="A9" s="18">
        <v>1</v>
      </c>
      <c r="B9" s="19">
        <v>99602</v>
      </c>
      <c r="C9" s="19">
        <v>27</v>
      </c>
      <c r="D9" s="20">
        <v>78.767499999999998</v>
      </c>
      <c r="E9" s="19">
        <v>99666</v>
      </c>
      <c r="F9" s="19">
        <v>24</v>
      </c>
      <c r="G9" s="20">
        <v>84.683199999999999</v>
      </c>
      <c r="H9" s="19">
        <v>99633</v>
      </c>
      <c r="I9" s="19">
        <v>25</v>
      </c>
      <c r="J9" s="20">
        <v>81.6554</v>
      </c>
      <c r="K9" s="16">
        <f t="shared" si="0"/>
        <v>1</v>
      </c>
      <c r="L9" s="21">
        <f t="shared" ref="L9:L72" si="1">B$73/B9</f>
        <v>0.85293468002650552</v>
      </c>
      <c r="M9" s="21">
        <f t="shared" ref="M9:M72" si="2">E$73/E9</f>
        <v>0.92647442457809082</v>
      </c>
    </row>
    <row r="10" spans="1:13" x14ac:dyDescent="0.25">
      <c r="A10" s="18">
        <v>2</v>
      </c>
      <c r="B10" s="19">
        <v>99576</v>
      </c>
      <c r="C10" s="19">
        <v>18</v>
      </c>
      <c r="D10" s="20">
        <v>77.788300000000007</v>
      </c>
      <c r="E10" s="19">
        <v>99642</v>
      </c>
      <c r="F10" s="19">
        <v>13</v>
      </c>
      <c r="G10" s="20">
        <v>83.703699999999998</v>
      </c>
      <c r="H10" s="19">
        <v>99608</v>
      </c>
      <c r="I10" s="19">
        <v>16</v>
      </c>
      <c r="J10" s="20">
        <v>80.676000000000002</v>
      </c>
      <c r="K10" s="16">
        <f t="shared" si="0"/>
        <v>2</v>
      </c>
      <c r="L10" s="21">
        <f t="shared" si="1"/>
        <v>0.85315738732224633</v>
      </c>
      <c r="M10" s="21">
        <f t="shared" si="2"/>
        <v>0.92669757732683</v>
      </c>
    </row>
    <row r="11" spans="1:13" x14ac:dyDescent="0.25">
      <c r="A11" s="18">
        <v>3</v>
      </c>
      <c r="B11" s="19">
        <v>99558</v>
      </c>
      <c r="C11" s="19">
        <v>14</v>
      </c>
      <c r="D11" s="20">
        <v>76.802300000000002</v>
      </c>
      <c r="E11" s="19">
        <v>99629</v>
      </c>
      <c r="F11" s="19">
        <v>11</v>
      </c>
      <c r="G11" s="20">
        <v>82.714500000000001</v>
      </c>
      <c r="H11" s="19">
        <v>99592</v>
      </c>
      <c r="I11" s="19">
        <v>13</v>
      </c>
      <c r="J11" s="20">
        <v>79.688500000000005</v>
      </c>
      <c r="K11" s="16">
        <f t="shared" si="0"/>
        <v>3</v>
      </c>
      <c r="L11" s="21">
        <f t="shared" si="1"/>
        <v>0.85331163743747362</v>
      </c>
      <c r="M11" s="21">
        <f t="shared" si="2"/>
        <v>0.9268184966224694</v>
      </c>
    </row>
    <row r="12" spans="1:13" x14ac:dyDescent="0.25">
      <c r="A12" s="18">
        <v>4</v>
      </c>
      <c r="B12" s="19">
        <v>99544</v>
      </c>
      <c r="C12" s="19">
        <v>11</v>
      </c>
      <c r="D12" s="20">
        <v>75.812700000000007</v>
      </c>
      <c r="E12" s="19">
        <v>99618</v>
      </c>
      <c r="F12" s="19">
        <v>9</v>
      </c>
      <c r="G12" s="20">
        <v>81.7239</v>
      </c>
      <c r="H12" s="19">
        <v>99580</v>
      </c>
      <c r="I12" s="19">
        <v>10</v>
      </c>
      <c r="J12" s="20">
        <v>78.698400000000007</v>
      </c>
      <c r="K12" s="16">
        <f t="shared" si="0"/>
        <v>4</v>
      </c>
      <c r="L12" s="21">
        <f>B$73/B12</f>
        <v>0.85343164831632246</v>
      </c>
      <c r="M12" s="21">
        <f t="shared" si="2"/>
        <v>0.92692083759963062</v>
      </c>
    </row>
    <row r="13" spans="1:13" x14ac:dyDescent="0.25">
      <c r="A13" s="18">
        <v>5</v>
      </c>
      <c r="B13" s="19">
        <v>99533</v>
      </c>
      <c r="C13" s="19">
        <v>10</v>
      </c>
      <c r="D13" s="20">
        <v>74.820800000000006</v>
      </c>
      <c r="E13" s="19">
        <v>99609</v>
      </c>
      <c r="F13" s="19">
        <v>8</v>
      </c>
      <c r="G13" s="20">
        <v>80.731099999999998</v>
      </c>
      <c r="H13" s="19">
        <v>99570</v>
      </c>
      <c r="I13" s="19">
        <v>9</v>
      </c>
      <c r="J13" s="20">
        <v>77.706100000000006</v>
      </c>
      <c r="K13" s="16">
        <f t="shared" si="0"/>
        <v>5</v>
      </c>
      <c r="L13" s="21">
        <f t="shared" si="1"/>
        <v>0.85352596626244559</v>
      </c>
      <c r="M13" s="21">
        <f t="shared" si="2"/>
        <v>0.92700458793884088</v>
      </c>
    </row>
    <row r="14" spans="1:13" x14ac:dyDescent="0.25">
      <c r="A14" s="18">
        <v>6</v>
      </c>
      <c r="B14" s="19">
        <v>99524</v>
      </c>
      <c r="C14" s="19">
        <v>9</v>
      </c>
      <c r="D14" s="20">
        <v>73.828100000000006</v>
      </c>
      <c r="E14" s="19">
        <v>99601</v>
      </c>
      <c r="F14" s="19">
        <v>7</v>
      </c>
      <c r="G14" s="20">
        <v>79.737399999999994</v>
      </c>
      <c r="H14" s="19">
        <v>99561</v>
      </c>
      <c r="I14" s="19">
        <v>8</v>
      </c>
      <c r="J14" s="20">
        <v>76.712999999999994</v>
      </c>
      <c r="K14" s="16">
        <f t="shared" si="0"/>
        <v>6</v>
      </c>
      <c r="L14" s="21">
        <f t="shared" si="1"/>
        <v>0.85360315099875406</v>
      </c>
      <c r="M14" s="21">
        <f t="shared" si="2"/>
        <v>0.92707904539111052</v>
      </c>
    </row>
    <row r="15" spans="1:13" x14ac:dyDescent="0.25">
      <c r="A15" s="18">
        <v>7</v>
      </c>
      <c r="B15" s="19">
        <v>99514</v>
      </c>
      <c r="C15" s="19">
        <v>8</v>
      </c>
      <c r="D15" s="20">
        <v>72.834800000000001</v>
      </c>
      <c r="E15" s="19">
        <v>99594</v>
      </c>
      <c r="F15" s="19">
        <v>5</v>
      </c>
      <c r="G15" s="20">
        <v>78.743099999999998</v>
      </c>
      <c r="H15" s="19">
        <v>99553</v>
      </c>
      <c r="I15" s="19">
        <v>7</v>
      </c>
      <c r="J15" s="20">
        <v>75.719200000000001</v>
      </c>
      <c r="K15" s="16">
        <f t="shared" si="0"/>
        <v>7</v>
      </c>
      <c r="L15" s="21">
        <f t="shared" si="1"/>
        <v>0.85368892819100828</v>
      </c>
      <c r="M15" s="21">
        <f t="shared" si="2"/>
        <v>0.92714420547422538</v>
      </c>
    </row>
    <row r="16" spans="1:13" x14ac:dyDescent="0.25">
      <c r="A16" s="18">
        <v>8</v>
      </c>
      <c r="B16" s="19">
        <v>99507</v>
      </c>
      <c r="C16" s="19">
        <v>7</v>
      </c>
      <c r="D16" s="20">
        <v>71.840299999999999</v>
      </c>
      <c r="E16" s="19">
        <v>99589</v>
      </c>
      <c r="F16" s="19">
        <v>6</v>
      </c>
      <c r="G16" s="20">
        <v>77.747299999999996</v>
      </c>
      <c r="H16" s="19">
        <v>99547</v>
      </c>
      <c r="I16" s="19">
        <v>6</v>
      </c>
      <c r="J16" s="20">
        <v>74.724100000000007</v>
      </c>
      <c r="K16" s="16">
        <f t="shared" si="0"/>
        <v>8</v>
      </c>
      <c r="L16" s="21">
        <f t="shared" si="1"/>
        <v>0.85374898248364439</v>
      </c>
      <c r="M16" s="21">
        <f t="shared" si="2"/>
        <v>0.92719075399893558</v>
      </c>
    </row>
    <row r="17" spans="1:13" x14ac:dyDescent="0.25">
      <c r="A17" s="18">
        <v>9</v>
      </c>
      <c r="B17" s="19">
        <v>99500</v>
      </c>
      <c r="C17" s="19">
        <v>6</v>
      </c>
      <c r="D17" s="20">
        <v>70.845200000000006</v>
      </c>
      <c r="E17" s="19">
        <v>99583</v>
      </c>
      <c r="F17" s="19">
        <v>6</v>
      </c>
      <c r="G17" s="20">
        <v>76.7517</v>
      </c>
      <c r="H17" s="19">
        <v>99540</v>
      </c>
      <c r="I17" s="19">
        <v>6</v>
      </c>
      <c r="J17" s="20">
        <v>73.728800000000007</v>
      </c>
      <c r="K17" s="16">
        <f t="shared" si="0"/>
        <v>9</v>
      </c>
      <c r="L17" s="21">
        <f t="shared" si="1"/>
        <v>0.85380904522613066</v>
      </c>
      <c r="M17" s="21">
        <f t="shared" si="2"/>
        <v>0.92724661839872269</v>
      </c>
    </row>
    <row r="18" spans="1:13" x14ac:dyDescent="0.25">
      <c r="A18" s="18">
        <v>10</v>
      </c>
      <c r="B18" s="19">
        <v>99494</v>
      </c>
      <c r="C18" s="19">
        <v>7</v>
      </c>
      <c r="D18" s="20">
        <v>69.849699999999999</v>
      </c>
      <c r="E18" s="19">
        <v>99577</v>
      </c>
      <c r="F18" s="19">
        <v>7</v>
      </c>
      <c r="G18" s="20">
        <v>75.756200000000007</v>
      </c>
      <c r="H18" s="19">
        <v>99534</v>
      </c>
      <c r="I18" s="19">
        <v>7</v>
      </c>
      <c r="J18" s="20">
        <v>72.7333</v>
      </c>
      <c r="K18" s="16">
        <f t="shared" si="0"/>
        <v>10</v>
      </c>
      <c r="L18" s="21">
        <f t="shared" si="1"/>
        <v>0.85386053430357611</v>
      </c>
      <c r="M18" s="21">
        <f t="shared" si="2"/>
        <v>0.92730248953071492</v>
      </c>
    </row>
    <row r="19" spans="1:13" x14ac:dyDescent="0.25">
      <c r="A19" s="18">
        <v>11</v>
      </c>
      <c r="B19" s="19">
        <v>99486</v>
      </c>
      <c r="C19" s="19">
        <v>8</v>
      </c>
      <c r="D19" s="20">
        <v>68.854799999999997</v>
      </c>
      <c r="E19" s="19">
        <v>99570</v>
      </c>
      <c r="F19" s="19">
        <v>7</v>
      </c>
      <c r="G19" s="20">
        <v>74.761300000000006</v>
      </c>
      <c r="H19" s="19">
        <v>99527</v>
      </c>
      <c r="I19" s="19">
        <v>7</v>
      </c>
      <c r="J19" s="20">
        <v>71.738399999999999</v>
      </c>
      <c r="K19" s="16">
        <f t="shared" si="0"/>
        <v>11</v>
      </c>
      <c r="L19" s="21">
        <f t="shared" si="1"/>
        <v>0.85392919606778839</v>
      </c>
      <c r="M19" s="21">
        <f t="shared" si="2"/>
        <v>0.92736768102842226</v>
      </c>
    </row>
    <row r="20" spans="1:13" x14ac:dyDescent="0.25">
      <c r="A20" s="18">
        <v>12</v>
      </c>
      <c r="B20" s="19">
        <v>99478</v>
      </c>
      <c r="C20" s="19">
        <v>8</v>
      </c>
      <c r="D20" s="20">
        <v>67.860500000000002</v>
      </c>
      <c r="E20" s="19">
        <v>99564</v>
      </c>
      <c r="F20" s="19">
        <v>6</v>
      </c>
      <c r="G20" s="20">
        <v>73.766099999999994</v>
      </c>
      <c r="H20" s="19">
        <v>99520</v>
      </c>
      <c r="I20" s="19">
        <v>7</v>
      </c>
      <c r="J20" s="20">
        <v>70.743700000000004</v>
      </c>
      <c r="K20" s="16">
        <f t="shared" si="0"/>
        <v>12</v>
      </c>
      <c r="L20" s="21">
        <f t="shared" si="1"/>
        <v>0.85399786887553031</v>
      </c>
      <c r="M20" s="21">
        <f t="shared" si="2"/>
        <v>0.92742356675103454</v>
      </c>
    </row>
    <row r="21" spans="1:13" x14ac:dyDescent="0.25">
      <c r="A21" s="18">
        <v>13</v>
      </c>
      <c r="B21" s="19">
        <v>99470</v>
      </c>
      <c r="C21" s="19">
        <v>10</v>
      </c>
      <c r="D21" s="20">
        <v>66.866200000000006</v>
      </c>
      <c r="E21" s="19">
        <v>99558</v>
      </c>
      <c r="F21" s="19">
        <v>8</v>
      </c>
      <c r="G21" s="20">
        <v>72.770700000000005</v>
      </c>
      <c r="H21" s="19">
        <v>99513</v>
      </c>
      <c r="I21" s="19">
        <v>9</v>
      </c>
      <c r="J21" s="20">
        <v>69.748900000000006</v>
      </c>
      <c r="K21" s="16">
        <f t="shared" si="0"/>
        <v>13</v>
      </c>
      <c r="L21" s="21">
        <f t="shared" si="1"/>
        <v>0.85406655272946619</v>
      </c>
      <c r="M21" s="21">
        <f t="shared" si="2"/>
        <v>0.92747945920970687</v>
      </c>
    </row>
    <row r="22" spans="1:13" x14ac:dyDescent="0.25">
      <c r="A22" s="18">
        <v>14</v>
      </c>
      <c r="B22" s="19">
        <v>99460</v>
      </c>
      <c r="C22" s="19">
        <v>14</v>
      </c>
      <c r="D22" s="20">
        <v>65.872900000000001</v>
      </c>
      <c r="E22" s="19">
        <v>99550</v>
      </c>
      <c r="F22" s="19">
        <v>8</v>
      </c>
      <c r="G22" s="20">
        <v>71.776300000000006</v>
      </c>
      <c r="H22" s="19">
        <v>99504</v>
      </c>
      <c r="I22" s="19">
        <v>11</v>
      </c>
      <c r="J22" s="20">
        <v>68.755099999999999</v>
      </c>
      <c r="K22" s="16">
        <f t="shared" si="0"/>
        <v>14</v>
      </c>
      <c r="L22" s="21">
        <f t="shared" si="1"/>
        <v>0.85415242308465711</v>
      </c>
      <c r="M22" s="21">
        <f t="shared" si="2"/>
        <v>0.92755399296835761</v>
      </c>
    </row>
    <row r="23" spans="1:13" x14ac:dyDescent="0.25">
      <c r="A23" s="18">
        <v>15</v>
      </c>
      <c r="B23" s="19">
        <v>99446</v>
      </c>
      <c r="C23" s="19">
        <v>19</v>
      </c>
      <c r="D23" s="20">
        <v>64.881900000000002</v>
      </c>
      <c r="E23" s="19">
        <v>99542</v>
      </c>
      <c r="F23" s="19">
        <v>11</v>
      </c>
      <c r="G23" s="20">
        <v>70.782300000000006</v>
      </c>
      <c r="H23" s="19">
        <v>99493</v>
      </c>
      <c r="I23" s="19">
        <v>15</v>
      </c>
      <c r="J23" s="20">
        <v>67.762699999999995</v>
      </c>
      <c r="K23" s="16">
        <f t="shared" si="0"/>
        <v>15</v>
      </c>
      <c r="L23" s="21">
        <f t="shared" si="1"/>
        <v>0.85427267059509682</v>
      </c>
      <c r="M23" s="21">
        <f t="shared" si="2"/>
        <v>0.92762853870727935</v>
      </c>
    </row>
    <row r="24" spans="1:13" x14ac:dyDescent="0.25">
      <c r="A24" s="18">
        <v>16</v>
      </c>
      <c r="B24" s="19">
        <v>99427</v>
      </c>
      <c r="C24" s="19">
        <v>23</v>
      </c>
      <c r="D24" s="20">
        <v>63.893900000000002</v>
      </c>
      <c r="E24" s="19">
        <v>99530</v>
      </c>
      <c r="F24" s="19">
        <v>12</v>
      </c>
      <c r="G24" s="20">
        <v>69.790099999999995</v>
      </c>
      <c r="H24" s="19">
        <v>99478</v>
      </c>
      <c r="I24" s="19">
        <v>18</v>
      </c>
      <c r="J24" s="20">
        <v>66.772800000000004</v>
      </c>
      <c r="K24" s="16">
        <f t="shared" si="0"/>
        <v>16</v>
      </c>
      <c r="L24" s="21">
        <f t="shared" si="1"/>
        <v>0.85443591780904582</v>
      </c>
      <c r="M24" s="21">
        <f t="shared" si="2"/>
        <v>0.92774037978498947</v>
      </c>
    </row>
    <row r="25" spans="1:13" x14ac:dyDescent="0.25">
      <c r="A25" s="18">
        <v>17</v>
      </c>
      <c r="B25" s="19">
        <v>99404</v>
      </c>
      <c r="C25" s="19">
        <v>29</v>
      </c>
      <c r="D25" s="20">
        <v>62.9086</v>
      </c>
      <c r="E25" s="19">
        <v>99518</v>
      </c>
      <c r="F25" s="19">
        <v>13</v>
      </c>
      <c r="G25" s="20">
        <v>68.798699999999997</v>
      </c>
      <c r="H25" s="19">
        <v>99460</v>
      </c>
      <c r="I25" s="19">
        <v>21</v>
      </c>
      <c r="J25" s="20">
        <v>65.784700000000001</v>
      </c>
      <c r="K25" s="16">
        <f t="shared" si="0"/>
        <v>17</v>
      </c>
      <c r="L25" s="21">
        <f t="shared" si="1"/>
        <v>0.85463361635346669</v>
      </c>
      <c r="M25" s="21">
        <f t="shared" si="2"/>
        <v>0.92785224783456255</v>
      </c>
    </row>
    <row r="26" spans="1:13" x14ac:dyDescent="0.25">
      <c r="A26" s="18">
        <v>18</v>
      </c>
      <c r="B26" s="19">
        <v>99376</v>
      </c>
      <c r="C26" s="19">
        <v>39</v>
      </c>
      <c r="D26" s="20">
        <v>61.926600000000001</v>
      </c>
      <c r="E26" s="19">
        <v>99506</v>
      </c>
      <c r="F26" s="19">
        <v>18</v>
      </c>
      <c r="G26" s="20">
        <v>67.807299999999998</v>
      </c>
      <c r="H26" s="19">
        <v>99439</v>
      </c>
      <c r="I26" s="19">
        <v>29</v>
      </c>
      <c r="J26" s="20">
        <v>64.798299999999998</v>
      </c>
      <c r="K26" s="16">
        <f t="shared" si="0"/>
        <v>18</v>
      </c>
      <c r="L26" s="21">
        <f t="shared" si="1"/>
        <v>0.85487441635807437</v>
      </c>
      <c r="M26" s="21">
        <f t="shared" si="2"/>
        <v>0.92796414286575679</v>
      </c>
    </row>
    <row r="27" spans="1:13" x14ac:dyDescent="0.25">
      <c r="A27" s="18">
        <v>19</v>
      </c>
      <c r="B27" s="19">
        <v>99337</v>
      </c>
      <c r="C27" s="19">
        <v>49</v>
      </c>
      <c r="D27" s="20">
        <v>60.950299999999999</v>
      </c>
      <c r="E27" s="19">
        <v>99487</v>
      </c>
      <c r="F27" s="19">
        <v>18</v>
      </c>
      <c r="G27" s="20">
        <v>66.819699999999997</v>
      </c>
      <c r="H27" s="19">
        <v>99410</v>
      </c>
      <c r="I27" s="19">
        <v>34</v>
      </c>
      <c r="J27" s="20">
        <v>63.816800000000001</v>
      </c>
      <c r="K27" s="16">
        <f t="shared" si="0"/>
        <v>19</v>
      </c>
      <c r="L27" s="21">
        <f t="shared" si="1"/>
        <v>0.85521004258232081</v>
      </c>
      <c r="M27" s="21">
        <f t="shared" si="2"/>
        <v>0.92814136520349388</v>
      </c>
    </row>
    <row r="28" spans="1:13" x14ac:dyDescent="0.25">
      <c r="A28" s="18">
        <v>20</v>
      </c>
      <c r="B28" s="19">
        <v>99289</v>
      </c>
      <c r="C28" s="19">
        <v>54</v>
      </c>
      <c r="D28" s="20">
        <v>59.98</v>
      </c>
      <c r="E28" s="19">
        <v>99470</v>
      </c>
      <c r="F28" s="19">
        <v>20</v>
      </c>
      <c r="G28" s="20">
        <v>65.831400000000002</v>
      </c>
      <c r="H28" s="19">
        <v>99377</v>
      </c>
      <c r="I28" s="19">
        <v>37</v>
      </c>
      <c r="J28" s="20">
        <v>62.838099999999997</v>
      </c>
      <c r="K28" s="16">
        <f t="shared" si="0"/>
        <v>20</v>
      </c>
      <c r="L28" s="21">
        <f t="shared" si="1"/>
        <v>0.85562348296387314</v>
      </c>
      <c r="M28" s="21">
        <f t="shared" si="2"/>
        <v>0.92829998994671759</v>
      </c>
    </row>
    <row r="29" spans="1:13" x14ac:dyDescent="0.25">
      <c r="A29" s="18">
        <v>21</v>
      </c>
      <c r="B29" s="19">
        <v>99235</v>
      </c>
      <c r="C29" s="19">
        <v>58</v>
      </c>
      <c r="D29" s="20">
        <v>59.012</v>
      </c>
      <c r="E29" s="19">
        <v>99450</v>
      </c>
      <c r="F29" s="19">
        <v>21</v>
      </c>
      <c r="G29" s="20">
        <v>64.844399999999993</v>
      </c>
      <c r="H29" s="19">
        <v>99340</v>
      </c>
      <c r="I29" s="19">
        <v>40</v>
      </c>
      <c r="J29" s="20">
        <v>61.861400000000003</v>
      </c>
      <c r="K29" s="16">
        <f t="shared" si="0"/>
        <v>21</v>
      </c>
      <c r="L29" s="21">
        <f t="shared" si="1"/>
        <v>0.85608908147327056</v>
      </c>
      <c r="M29" s="21">
        <f t="shared" si="2"/>
        <v>0.92848667672197083</v>
      </c>
    </row>
    <row r="30" spans="1:13" x14ac:dyDescent="0.25">
      <c r="A30" s="18">
        <v>22</v>
      </c>
      <c r="B30" s="19">
        <v>99177</v>
      </c>
      <c r="C30" s="19">
        <v>58</v>
      </c>
      <c r="D30" s="20">
        <v>58.046199999999999</v>
      </c>
      <c r="E30" s="19">
        <v>99429</v>
      </c>
      <c r="F30" s="19">
        <v>21</v>
      </c>
      <c r="G30" s="20">
        <v>63.857799999999997</v>
      </c>
      <c r="H30" s="19">
        <v>99300</v>
      </c>
      <c r="I30" s="19">
        <v>40</v>
      </c>
      <c r="J30" s="20">
        <v>60.885899999999999</v>
      </c>
      <c r="K30" s="16">
        <f t="shared" si="0"/>
        <v>22</v>
      </c>
      <c r="L30" s="21">
        <f t="shared" si="1"/>
        <v>0.8565897335067606</v>
      </c>
      <c r="M30" s="21">
        <f t="shared" si="2"/>
        <v>0.92868277866618387</v>
      </c>
    </row>
    <row r="31" spans="1:13" x14ac:dyDescent="0.25">
      <c r="A31" s="18">
        <v>23</v>
      </c>
      <c r="B31" s="19">
        <v>99120</v>
      </c>
      <c r="C31" s="19">
        <v>62</v>
      </c>
      <c r="D31" s="20">
        <v>57.079599999999999</v>
      </c>
      <c r="E31" s="19">
        <v>99409</v>
      </c>
      <c r="F31" s="19">
        <v>22</v>
      </c>
      <c r="G31" s="20">
        <v>62.870800000000003</v>
      </c>
      <c r="H31" s="19">
        <v>99261</v>
      </c>
      <c r="I31" s="19">
        <v>42</v>
      </c>
      <c r="J31" s="20">
        <v>59.9099</v>
      </c>
      <c r="K31" s="16">
        <f t="shared" si="0"/>
        <v>23</v>
      </c>
      <c r="L31" s="21">
        <f t="shared" si="1"/>
        <v>0.85708232445520582</v>
      </c>
      <c r="M31" s="21">
        <f t="shared" si="2"/>
        <v>0.92886961945095514</v>
      </c>
    </row>
    <row r="32" spans="1:13" x14ac:dyDescent="0.25">
      <c r="A32" s="18">
        <v>24</v>
      </c>
      <c r="B32" s="19">
        <v>99059</v>
      </c>
      <c r="C32" s="19">
        <v>62</v>
      </c>
      <c r="D32" s="20">
        <v>56.1145</v>
      </c>
      <c r="E32" s="19">
        <v>99387</v>
      </c>
      <c r="F32" s="19">
        <v>21</v>
      </c>
      <c r="G32" s="20">
        <v>61.884500000000003</v>
      </c>
      <c r="H32" s="19">
        <v>99219</v>
      </c>
      <c r="I32" s="19">
        <v>42</v>
      </c>
      <c r="J32" s="20">
        <v>58.935000000000002</v>
      </c>
      <c r="K32" s="16">
        <f t="shared" si="0"/>
        <v>24</v>
      </c>
      <c r="L32" s="21">
        <f t="shared" si="1"/>
        <v>0.8576101111458827</v>
      </c>
      <c r="M32" s="21">
        <f t="shared" si="2"/>
        <v>0.92907523116705404</v>
      </c>
    </row>
    <row r="33" spans="1:13" x14ac:dyDescent="0.25">
      <c r="A33" s="18">
        <v>25</v>
      </c>
      <c r="B33" s="19">
        <v>98997</v>
      </c>
      <c r="C33" s="19">
        <v>64</v>
      </c>
      <c r="D33" s="20">
        <v>55.149099999999997</v>
      </c>
      <c r="E33" s="19">
        <v>99366</v>
      </c>
      <c r="F33" s="19">
        <v>25</v>
      </c>
      <c r="G33" s="20">
        <v>60.897599999999997</v>
      </c>
      <c r="H33" s="19">
        <v>99177</v>
      </c>
      <c r="I33" s="19">
        <v>45</v>
      </c>
      <c r="J33" s="20">
        <v>57.959699999999998</v>
      </c>
      <c r="K33" s="16">
        <f t="shared" si="0"/>
        <v>25</v>
      </c>
      <c r="L33" s="21">
        <f t="shared" si="1"/>
        <v>0.85814721658232063</v>
      </c>
      <c r="M33" s="21">
        <f t="shared" si="2"/>
        <v>0.92927158182879455</v>
      </c>
    </row>
    <row r="34" spans="1:13" x14ac:dyDescent="0.25">
      <c r="A34" s="18">
        <v>26</v>
      </c>
      <c r="B34" s="19">
        <v>98934</v>
      </c>
      <c r="C34" s="19">
        <v>67</v>
      </c>
      <c r="D34" s="20">
        <v>54.183799999999998</v>
      </c>
      <c r="E34" s="19">
        <v>99341</v>
      </c>
      <c r="F34" s="19">
        <v>24</v>
      </c>
      <c r="G34" s="20">
        <v>59.912599999999998</v>
      </c>
      <c r="H34" s="19">
        <v>99133</v>
      </c>
      <c r="I34" s="19">
        <v>46</v>
      </c>
      <c r="J34" s="20">
        <v>56.985300000000002</v>
      </c>
      <c r="K34" s="16">
        <f t="shared" si="0"/>
        <v>26</v>
      </c>
      <c r="L34" s="21">
        <f t="shared" si="1"/>
        <v>0.85869367457092605</v>
      </c>
      <c r="M34" s="21">
        <f t="shared" si="2"/>
        <v>0.92950544085523601</v>
      </c>
    </row>
    <row r="35" spans="1:13" x14ac:dyDescent="0.25">
      <c r="A35" s="18">
        <v>27</v>
      </c>
      <c r="B35" s="19">
        <v>98868</v>
      </c>
      <c r="C35" s="19">
        <v>68</v>
      </c>
      <c r="D35" s="20">
        <v>53.219900000000003</v>
      </c>
      <c r="E35" s="19">
        <v>99318</v>
      </c>
      <c r="F35" s="19">
        <v>23</v>
      </c>
      <c r="G35" s="20">
        <v>58.926600000000001</v>
      </c>
      <c r="H35" s="19">
        <v>99087</v>
      </c>
      <c r="I35" s="19">
        <v>46</v>
      </c>
      <c r="J35" s="20">
        <v>56.011200000000002</v>
      </c>
      <c r="K35" s="16">
        <f t="shared" si="0"/>
        <v>27</v>
      </c>
      <c r="L35" s="21">
        <f t="shared" si="1"/>
        <v>0.85926690132297612</v>
      </c>
      <c r="M35" s="21">
        <f t="shared" si="2"/>
        <v>0.92972069514086064</v>
      </c>
    </row>
    <row r="36" spans="1:13" x14ac:dyDescent="0.25">
      <c r="A36" s="18">
        <v>28</v>
      </c>
      <c r="B36" s="19">
        <v>98801</v>
      </c>
      <c r="C36" s="19">
        <v>69</v>
      </c>
      <c r="D36" s="20">
        <v>52.255600000000001</v>
      </c>
      <c r="E36" s="19">
        <v>99295</v>
      </c>
      <c r="F36" s="19">
        <v>25</v>
      </c>
      <c r="G36" s="20">
        <v>57.940199999999997</v>
      </c>
      <c r="H36" s="19">
        <v>99042</v>
      </c>
      <c r="I36" s="19">
        <v>48</v>
      </c>
      <c r="J36" s="20">
        <v>55.036700000000003</v>
      </c>
      <c r="K36" s="16">
        <f t="shared" si="0"/>
        <v>28</v>
      </c>
      <c r="L36" s="21">
        <f t="shared" si="1"/>
        <v>0.8598495966640014</v>
      </c>
      <c r="M36" s="21">
        <f t="shared" si="2"/>
        <v>0.92993604914648276</v>
      </c>
    </row>
    <row r="37" spans="1:13" x14ac:dyDescent="0.25">
      <c r="A37" s="18">
        <v>29</v>
      </c>
      <c r="B37" s="19">
        <v>98733</v>
      </c>
      <c r="C37" s="19">
        <v>74</v>
      </c>
      <c r="D37" s="20">
        <v>51.2913</v>
      </c>
      <c r="E37" s="19">
        <v>99269</v>
      </c>
      <c r="F37" s="19">
        <v>33</v>
      </c>
      <c r="G37" s="20">
        <v>56.954799999999999</v>
      </c>
      <c r="H37" s="19">
        <v>98995</v>
      </c>
      <c r="I37" s="19">
        <v>54</v>
      </c>
      <c r="J37" s="20">
        <v>54.062800000000003</v>
      </c>
      <c r="K37" s="16">
        <f t="shared" si="0"/>
        <v>29</v>
      </c>
      <c r="L37" s="21">
        <f t="shared" si="1"/>
        <v>0.86044179757527883</v>
      </c>
      <c r="M37" s="21">
        <f t="shared" si="2"/>
        <v>0.93017961297081664</v>
      </c>
    </row>
    <row r="38" spans="1:13" x14ac:dyDescent="0.25">
      <c r="A38" s="18">
        <v>30</v>
      </c>
      <c r="B38" s="19">
        <v>98660</v>
      </c>
      <c r="C38" s="19">
        <v>75</v>
      </c>
      <c r="D38" s="20">
        <v>50.328699999999998</v>
      </c>
      <c r="E38" s="19">
        <v>99237</v>
      </c>
      <c r="F38" s="19">
        <v>28</v>
      </c>
      <c r="G38" s="20">
        <v>55.973300000000002</v>
      </c>
      <c r="H38" s="19">
        <v>98941</v>
      </c>
      <c r="I38" s="19">
        <v>52</v>
      </c>
      <c r="J38" s="20">
        <v>53.091500000000003</v>
      </c>
      <c r="K38" s="16">
        <f t="shared" si="0"/>
        <v>30</v>
      </c>
      <c r="L38" s="21">
        <f t="shared" si="1"/>
        <v>0.8610784512467059</v>
      </c>
      <c r="M38" s="21">
        <f t="shared" si="2"/>
        <v>0.93047955903544044</v>
      </c>
    </row>
    <row r="39" spans="1:13" x14ac:dyDescent="0.25">
      <c r="A39" s="18">
        <v>31</v>
      </c>
      <c r="B39" s="19">
        <v>98586</v>
      </c>
      <c r="C39" s="19">
        <v>78</v>
      </c>
      <c r="D39" s="20">
        <v>49.366</v>
      </c>
      <c r="E39" s="19">
        <v>99209</v>
      </c>
      <c r="F39" s="19">
        <v>32</v>
      </c>
      <c r="G39" s="20">
        <v>54.988999999999997</v>
      </c>
      <c r="H39" s="19">
        <v>98890</v>
      </c>
      <c r="I39" s="19">
        <v>56</v>
      </c>
      <c r="J39" s="20">
        <v>52.118899999999996</v>
      </c>
      <c r="K39" s="16">
        <f t="shared" si="0"/>
        <v>31</v>
      </c>
      <c r="L39" s="21">
        <f t="shared" si="1"/>
        <v>0.86172478850952472</v>
      </c>
      <c r="M39" s="21">
        <f t="shared" si="2"/>
        <v>0.93074217056920239</v>
      </c>
    </row>
    <row r="40" spans="1:13" x14ac:dyDescent="0.25">
      <c r="A40" s="18">
        <v>32</v>
      </c>
      <c r="B40" s="19">
        <v>98509</v>
      </c>
      <c r="C40" s="19">
        <v>85</v>
      </c>
      <c r="D40" s="20">
        <v>48.404200000000003</v>
      </c>
      <c r="E40" s="19">
        <v>99177</v>
      </c>
      <c r="F40" s="19">
        <v>34</v>
      </c>
      <c r="G40" s="20">
        <v>54.006599999999999</v>
      </c>
      <c r="H40" s="19">
        <v>98835</v>
      </c>
      <c r="I40" s="19">
        <v>60</v>
      </c>
      <c r="J40" s="20">
        <v>51.147599999999997</v>
      </c>
      <c r="K40" s="16">
        <f t="shared" si="0"/>
        <v>32</v>
      </c>
      <c r="L40" s="21">
        <f t="shared" si="1"/>
        <v>0.86239835954075261</v>
      </c>
      <c r="M40" s="21">
        <f t="shared" si="2"/>
        <v>0.93104247960716702</v>
      </c>
    </row>
    <row r="41" spans="1:13" x14ac:dyDescent="0.25">
      <c r="A41" s="18">
        <v>33</v>
      </c>
      <c r="B41" s="19">
        <v>98425</v>
      </c>
      <c r="C41" s="19">
        <v>86</v>
      </c>
      <c r="D41" s="20">
        <v>47.4452</v>
      </c>
      <c r="E41" s="19">
        <v>99144</v>
      </c>
      <c r="F41" s="19">
        <v>39</v>
      </c>
      <c r="G41" s="20">
        <v>53.024500000000003</v>
      </c>
      <c r="H41" s="19">
        <v>98776</v>
      </c>
      <c r="I41" s="19">
        <v>63</v>
      </c>
      <c r="J41" s="20">
        <v>50.178100000000001</v>
      </c>
      <c r="K41" s="16">
        <f t="shared" si="0"/>
        <v>33</v>
      </c>
      <c r="L41" s="21">
        <f t="shared" si="1"/>
        <v>0.86313436626873252</v>
      </c>
      <c r="M41" s="21">
        <f t="shared" si="2"/>
        <v>0.93135237634148305</v>
      </c>
    </row>
    <row r="42" spans="1:13" x14ac:dyDescent="0.25">
      <c r="A42" s="18">
        <v>34</v>
      </c>
      <c r="B42" s="19">
        <v>98340</v>
      </c>
      <c r="C42" s="19">
        <v>96</v>
      </c>
      <c r="D42" s="20">
        <v>46.485700000000001</v>
      </c>
      <c r="E42" s="19">
        <v>99105</v>
      </c>
      <c r="F42" s="19">
        <v>40</v>
      </c>
      <c r="G42" s="20">
        <v>52.045000000000002</v>
      </c>
      <c r="H42" s="19">
        <v>98713</v>
      </c>
      <c r="I42" s="19">
        <v>69</v>
      </c>
      <c r="J42" s="20">
        <v>49.209400000000002</v>
      </c>
      <c r="K42" s="16">
        <f t="shared" si="0"/>
        <v>34</v>
      </c>
      <c r="L42" s="21">
        <f t="shared" si="1"/>
        <v>0.8638804148871263</v>
      </c>
      <c r="M42" s="21">
        <f t="shared" si="2"/>
        <v>0.93171888401190661</v>
      </c>
    </row>
    <row r="43" spans="1:13" x14ac:dyDescent="0.25">
      <c r="A43" s="18">
        <v>35</v>
      </c>
      <c r="B43" s="19">
        <v>98246</v>
      </c>
      <c r="C43" s="19">
        <v>101</v>
      </c>
      <c r="D43" s="20">
        <v>45.529800000000002</v>
      </c>
      <c r="E43" s="19">
        <v>99065</v>
      </c>
      <c r="F43" s="19">
        <v>43</v>
      </c>
      <c r="G43" s="20">
        <v>51.065800000000003</v>
      </c>
      <c r="H43" s="19">
        <v>98646</v>
      </c>
      <c r="I43" s="19">
        <v>72</v>
      </c>
      <c r="J43" s="20">
        <v>48.242800000000003</v>
      </c>
      <c r="K43" s="16">
        <f t="shared" si="0"/>
        <v>35</v>
      </c>
      <c r="L43" s="21">
        <f t="shared" si="1"/>
        <v>0.86470696007979964</v>
      </c>
      <c r="M43" s="21">
        <f t="shared" si="2"/>
        <v>0.93209508908292538</v>
      </c>
    </row>
    <row r="44" spans="1:13" x14ac:dyDescent="0.25">
      <c r="A44" s="18">
        <v>36</v>
      </c>
      <c r="B44" s="19">
        <v>98147</v>
      </c>
      <c r="C44" s="19">
        <v>108</v>
      </c>
      <c r="D44" s="20">
        <v>44.575299999999999</v>
      </c>
      <c r="E44" s="19">
        <v>99023</v>
      </c>
      <c r="F44" s="19">
        <v>49</v>
      </c>
      <c r="G44" s="20">
        <v>50.087400000000002</v>
      </c>
      <c r="H44" s="19">
        <v>98574</v>
      </c>
      <c r="I44" s="19">
        <v>79</v>
      </c>
      <c r="J44" s="20">
        <v>47.277500000000003</v>
      </c>
      <c r="K44" s="16">
        <f t="shared" si="0"/>
        <v>36</v>
      </c>
      <c r="L44" s="21">
        <f t="shared" si="1"/>
        <v>0.86557918224703756</v>
      </c>
      <c r="M44" s="21">
        <f t="shared" si="2"/>
        <v>0.93249043151591049</v>
      </c>
    </row>
    <row r="45" spans="1:13" x14ac:dyDescent="0.25">
      <c r="A45" s="18">
        <v>37</v>
      </c>
      <c r="B45" s="19">
        <v>98040</v>
      </c>
      <c r="C45" s="19">
        <v>119</v>
      </c>
      <c r="D45" s="20">
        <v>43.623100000000001</v>
      </c>
      <c r="E45" s="19">
        <v>98974</v>
      </c>
      <c r="F45" s="19">
        <v>54</v>
      </c>
      <c r="G45" s="20">
        <v>49.111499999999999</v>
      </c>
      <c r="H45" s="19">
        <v>98496</v>
      </c>
      <c r="I45" s="19">
        <v>87</v>
      </c>
      <c r="J45" s="20">
        <v>46.314500000000002</v>
      </c>
      <c r="K45" s="16">
        <f t="shared" si="0"/>
        <v>37</v>
      </c>
      <c r="L45" s="21">
        <f t="shared" si="1"/>
        <v>0.86652386780905755</v>
      </c>
      <c r="M45" s="21">
        <f t="shared" si="2"/>
        <v>0.93295208842726374</v>
      </c>
    </row>
    <row r="46" spans="1:13" x14ac:dyDescent="0.25">
      <c r="A46" s="18">
        <v>38</v>
      </c>
      <c r="B46" s="19">
        <v>97923</v>
      </c>
      <c r="C46" s="19">
        <v>121</v>
      </c>
      <c r="D46" s="20">
        <v>42.674599999999998</v>
      </c>
      <c r="E46" s="19">
        <v>98921</v>
      </c>
      <c r="F46" s="19">
        <v>58</v>
      </c>
      <c r="G46" s="20">
        <v>48.137700000000002</v>
      </c>
      <c r="H46" s="19">
        <v>98410</v>
      </c>
      <c r="I46" s="19">
        <v>90</v>
      </c>
      <c r="J46" s="20">
        <v>45.354399999999998</v>
      </c>
      <c r="K46" s="16">
        <f t="shared" si="0"/>
        <v>38</v>
      </c>
      <c r="L46" s="21">
        <f t="shared" si="1"/>
        <v>0.86755920468122916</v>
      </c>
      <c r="M46" s="21">
        <f t="shared" si="2"/>
        <v>0.93345194650276486</v>
      </c>
    </row>
    <row r="47" spans="1:13" x14ac:dyDescent="0.25">
      <c r="A47" s="18">
        <v>39</v>
      </c>
      <c r="B47" s="19">
        <v>97805</v>
      </c>
      <c r="C47" s="19">
        <v>136</v>
      </c>
      <c r="D47" s="20">
        <v>41.7256</v>
      </c>
      <c r="E47" s="19">
        <v>98864</v>
      </c>
      <c r="F47" s="19">
        <v>65</v>
      </c>
      <c r="G47" s="20">
        <v>47.165300000000002</v>
      </c>
      <c r="H47" s="19">
        <v>98322</v>
      </c>
      <c r="I47" s="19">
        <v>101</v>
      </c>
      <c r="J47" s="20">
        <v>44.394799999999996</v>
      </c>
      <c r="K47" s="16">
        <f t="shared" si="0"/>
        <v>39</v>
      </c>
      <c r="L47" s="21">
        <f t="shared" si="1"/>
        <v>0.86860589949389089</v>
      </c>
      <c r="M47" s="21">
        <f t="shared" si="2"/>
        <v>0.93399012785240332</v>
      </c>
    </row>
    <row r="48" spans="1:13" x14ac:dyDescent="0.25">
      <c r="A48" s="18">
        <v>40</v>
      </c>
      <c r="B48" s="19">
        <v>97672</v>
      </c>
      <c r="C48" s="19">
        <v>142</v>
      </c>
      <c r="D48" s="20">
        <v>40.781999999999996</v>
      </c>
      <c r="E48" s="19">
        <v>98800</v>
      </c>
      <c r="F48" s="19">
        <v>69</v>
      </c>
      <c r="G48" s="20">
        <v>46.195599999999999</v>
      </c>
      <c r="H48" s="19">
        <v>98222</v>
      </c>
      <c r="I48" s="19">
        <v>106</v>
      </c>
      <c r="J48" s="20">
        <v>43.439399999999999</v>
      </c>
      <c r="K48" s="16">
        <f t="shared" si="0"/>
        <v>40</v>
      </c>
      <c r="L48" s="21">
        <f t="shared" si="1"/>
        <v>0.86978868048161195</v>
      </c>
      <c r="M48" s="21">
        <f t="shared" si="2"/>
        <v>0.93459514170040481</v>
      </c>
    </row>
    <row r="49" spans="1:13" x14ac:dyDescent="0.25">
      <c r="A49" s="18">
        <v>41</v>
      </c>
      <c r="B49" s="19">
        <v>97533</v>
      </c>
      <c r="C49" s="19">
        <v>156</v>
      </c>
      <c r="D49" s="20">
        <v>39.839199999999998</v>
      </c>
      <c r="E49" s="19">
        <v>98731</v>
      </c>
      <c r="F49" s="19">
        <v>77</v>
      </c>
      <c r="G49" s="20">
        <v>45.227400000000003</v>
      </c>
      <c r="H49" s="19">
        <v>98118</v>
      </c>
      <c r="I49" s="19">
        <v>117</v>
      </c>
      <c r="J49" s="20">
        <v>42.485100000000003</v>
      </c>
      <c r="K49" s="16">
        <f t="shared" si="0"/>
        <v>41</v>
      </c>
      <c r="L49" s="21">
        <f t="shared" si="1"/>
        <v>0.87102826735566419</v>
      </c>
      <c r="M49" s="21">
        <f t="shared" si="2"/>
        <v>0.93524830093891487</v>
      </c>
    </row>
    <row r="50" spans="1:13" x14ac:dyDescent="0.25">
      <c r="A50" s="18">
        <v>42</v>
      </c>
      <c r="B50" s="19">
        <v>97381</v>
      </c>
      <c r="C50" s="19">
        <v>174</v>
      </c>
      <c r="D50" s="20">
        <v>38.900700000000001</v>
      </c>
      <c r="E50" s="19">
        <v>98655</v>
      </c>
      <c r="F50" s="19">
        <v>83</v>
      </c>
      <c r="G50" s="20">
        <v>44.261899999999997</v>
      </c>
      <c r="H50" s="19">
        <v>98003</v>
      </c>
      <c r="I50" s="19">
        <v>129</v>
      </c>
      <c r="J50" s="20">
        <v>41.534399999999998</v>
      </c>
      <c r="K50" s="16">
        <f t="shared" si="0"/>
        <v>42</v>
      </c>
      <c r="L50" s="21">
        <f t="shared" si="1"/>
        <v>0.87238783746316018</v>
      </c>
      <c r="M50" s="21">
        <f t="shared" si="2"/>
        <v>0.9359687800922406</v>
      </c>
    </row>
    <row r="51" spans="1:13" x14ac:dyDescent="0.25">
      <c r="A51" s="18">
        <v>43</v>
      </c>
      <c r="B51" s="19">
        <v>97212</v>
      </c>
      <c r="C51" s="19">
        <v>193</v>
      </c>
      <c r="D51" s="20">
        <v>37.967500000000001</v>
      </c>
      <c r="E51" s="19">
        <v>98573</v>
      </c>
      <c r="F51" s="19">
        <v>103</v>
      </c>
      <c r="G51" s="20">
        <v>43.298400000000001</v>
      </c>
      <c r="H51" s="19">
        <v>97876</v>
      </c>
      <c r="I51" s="19">
        <v>149</v>
      </c>
      <c r="J51" s="20">
        <v>40.587499999999999</v>
      </c>
      <c r="K51" s="16">
        <f t="shared" si="0"/>
        <v>43</v>
      </c>
      <c r="L51" s="21">
        <f t="shared" si="1"/>
        <v>0.87390445623997037</v>
      </c>
      <c r="M51" s="21">
        <f t="shared" si="2"/>
        <v>0.93674738518661294</v>
      </c>
    </row>
    <row r="52" spans="1:13" x14ac:dyDescent="0.25">
      <c r="A52" s="18">
        <v>44</v>
      </c>
      <c r="B52" s="19">
        <v>97024</v>
      </c>
      <c r="C52" s="19">
        <v>206</v>
      </c>
      <c r="D52" s="20">
        <v>37.04</v>
      </c>
      <c r="E52" s="19">
        <v>98471</v>
      </c>
      <c r="F52" s="19">
        <v>113</v>
      </c>
      <c r="G52" s="20">
        <v>42.342700000000001</v>
      </c>
      <c r="H52" s="19">
        <v>97730</v>
      </c>
      <c r="I52" s="19">
        <v>160</v>
      </c>
      <c r="J52" s="20">
        <v>39.647399999999998</v>
      </c>
      <c r="K52" s="16">
        <f t="shared" si="0"/>
        <v>44</v>
      </c>
      <c r="L52" s="21">
        <f t="shared" si="1"/>
        <v>0.87559779023746698</v>
      </c>
      <c r="M52" s="21">
        <f t="shared" si="2"/>
        <v>0.9377177036894111</v>
      </c>
    </row>
    <row r="53" spans="1:13" x14ac:dyDescent="0.25">
      <c r="A53" s="18">
        <v>45</v>
      </c>
      <c r="B53" s="19">
        <v>96824</v>
      </c>
      <c r="C53" s="19">
        <v>232</v>
      </c>
      <c r="D53" s="20">
        <v>36.115400000000001</v>
      </c>
      <c r="E53" s="19">
        <v>98360</v>
      </c>
      <c r="F53" s="19">
        <v>124</v>
      </c>
      <c r="G53" s="20">
        <v>41.389899999999997</v>
      </c>
      <c r="H53" s="19">
        <v>97574</v>
      </c>
      <c r="I53" s="19">
        <v>179</v>
      </c>
      <c r="J53" s="20">
        <v>38.710099999999997</v>
      </c>
      <c r="K53" s="16">
        <f t="shared" si="0"/>
        <v>45</v>
      </c>
      <c r="L53" s="21">
        <f t="shared" si="1"/>
        <v>0.87740642815830783</v>
      </c>
      <c r="M53" s="21">
        <f t="shared" si="2"/>
        <v>0.93877592517283448</v>
      </c>
    </row>
    <row r="54" spans="1:13" x14ac:dyDescent="0.25">
      <c r="A54" s="18">
        <v>46</v>
      </c>
      <c r="B54" s="19">
        <v>96600</v>
      </c>
      <c r="C54" s="19">
        <v>254</v>
      </c>
      <c r="D54" s="20">
        <v>35.1982</v>
      </c>
      <c r="E54" s="19">
        <v>98238</v>
      </c>
      <c r="F54" s="19">
        <v>133</v>
      </c>
      <c r="G54" s="20">
        <v>40.440800000000003</v>
      </c>
      <c r="H54" s="19">
        <v>97399</v>
      </c>
      <c r="I54" s="19">
        <v>194</v>
      </c>
      <c r="J54" s="20">
        <v>37.778599999999997</v>
      </c>
      <c r="K54" s="16">
        <f t="shared" si="0"/>
        <v>46</v>
      </c>
      <c r="L54" s="21">
        <f t="shared" si="1"/>
        <v>0.8794409937888199</v>
      </c>
      <c r="M54" s="21">
        <f t="shared" si="2"/>
        <v>0.9399417740589181</v>
      </c>
    </row>
    <row r="55" spans="1:13" x14ac:dyDescent="0.25">
      <c r="A55" s="18">
        <v>47</v>
      </c>
      <c r="B55" s="19">
        <v>96355</v>
      </c>
      <c r="C55" s="19">
        <v>282</v>
      </c>
      <c r="D55" s="20">
        <v>34.286499999999997</v>
      </c>
      <c r="E55" s="19">
        <v>98107</v>
      </c>
      <c r="F55" s="19">
        <v>150</v>
      </c>
      <c r="G55" s="20">
        <v>39.494100000000003</v>
      </c>
      <c r="H55" s="19">
        <v>97210</v>
      </c>
      <c r="I55" s="19">
        <v>217</v>
      </c>
      <c r="J55" s="20">
        <v>36.851199999999999</v>
      </c>
      <c r="K55" s="16">
        <f t="shared" si="0"/>
        <v>47</v>
      </c>
      <c r="L55" s="21">
        <f t="shared" si="1"/>
        <v>0.88167713144102533</v>
      </c>
      <c r="M55" s="21">
        <f t="shared" si="2"/>
        <v>0.94119685649342044</v>
      </c>
    </row>
    <row r="56" spans="1:13" x14ac:dyDescent="0.25">
      <c r="A56" s="18">
        <v>48</v>
      </c>
      <c r="B56" s="19">
        <v>96083</v>
      </c>
      <c r="C56" s="19">
        <v>305</v>
      </c>
      <c r="D56" s="20">
        <v>33.381999999999998</v>
      </c>
      <c r="E56" s="19">
        <v>97960</v>
      </c>
      <c r="F56" s="19">
        <v>170</v>
      </c>
      <c r="G56" s="20">
        <v>38.552599999999998</v>
      </c>
      <c r="H56" s="19">
        <v>96999</v>
      </c>
      <c r="I56" s="19">
        <v>239</v>
      </c>
      <c r="J56" s="20">
        <v>35.930300000000003</v>
      </c>
      <c r="K56" s="16">
        <f t="shared" si="0"/>
        <v>48</v>
      </c>
      <c r="L56" s="21">
        <f t="shared" si="1"/>
        <v>0.88417305870965723</v>
      </c>
      <c r="M56" s="21">
        <f t="shared" si="2"/>
        <v>0.94260922825643123</v>
      </c>
    </row>
    <row r="57" spans="1:13" x14ac:dyDescent="0.25">
      <c r="A57" s="18">
        <v>49</v>
      </c>
      <c r="B57" s="19">
        <v>95789</v>
      </c>
      <c r="C57" s="19">
        <v>348</v>
      </c>
      <c r="D57" s="20">
        <v>32.482799999999997</v>
      </c>
      <c r="E57" s="19">
        <v>97793</v>
      </c>
      <c r="F57" s="19">
        <v>180</v>
      </c>
      <c r="G57" s="20">
        <v>37.617600000000003</v>
      </c>
      <c r="H57" s="19">
        <v>96767</v>
      </c>
      <c r="I57" s="19">
        <v>265</v>
      </c>
      <c r="J57" s="20">
        <v>35.015099999999997</v>
      </c>
      <c r="K57" s="16">
        <f t="shared" si="0"/>
        <v>49</v>
      </c>
      <c r="L57" s="21">
        <f t="shared" si="1"/>
        <v>0.88688680328638991</v>
      </c>
      <c r="M57" s="21">
        <f t="shared" si="2"/>
        <v>0.94421891137402469</v>
      </c>
    </row>
    <row r="58" spans="1:13" x14ac:dyDescent="0.25">
      <c r="A58" s="18">
        <v>50</v>
      </c>
      <c r="B58" s="19">
        <v>95456</v>
      </c>
      <c r="C58" s="19">
        <v>376</v>
      </c>
      <c r="D58" s="20">
        <v>31.5944</v>
      </c>
      <c r="E58" s="19">
        <v>97617</v>
      </c>
      <c r="F58" s="19">
        <v>204</v>
      </c>
      <c r="G58" s="20">
        <v>36.684600000000003</v>
      </c>
      <c r="H58" s="19">
        <v>96510</v>
      </c>
      <c r="I58" s="19">
        <v>291</v>
      </c>
      <c r="J58" s="20">
        <v>34.106900000000003</v>
      </c>
      <c r="K58" s="16">
        <f t="shared" si="0"/>
        <v>50</v>
      </c>
      <c r="L58" s="21">
        <f t="shared" si="1"/>
        <v>0.8899807241032518</v>
      </c>
      <c r="M58" s="21">
        <f t="shared" si="2"/>
        <v>0.94592130469078128</v>
      </c>
    </row>
    <row r="59" spans="1:13" x14ac:dyDescent="0.25">
      <c r="A59" s="18">
        <v>51</v>
      </c>
      <c r="B59" s="19">
        <v>95097</v>
      </c>
      <c r="C59" s="19">
        <v>411</v>
      </c>
      <c r="D59" s="20">
        <v>30.7118</v>
      </c>
      <c r="E59" s="19">
        <v>97418</v>
      </c>
      <c r="F59" s="19">
        <v>219</v>
      </c>
      <c r="G59" s="20">
        <v>35.758499999999998</v>
      </c>
      <c r="H59" s="19">
        <v>96229</v>
      </c>
      <c r="I59" s="19">
        <v>316</v>
      </c>
      <c r="J59" s="20">
        <v>33.204999999999998</v>
      </c>
      <c r="K59" s="16">
        <f t="shared" si="0"/>
        <v>51</v>
      </c>
      <c r="L59" s="21">
        <f t="shared" si="1"/>
        <v>0.89334048392693777</v>
      </c>
      <c r="M59" s="21">
        <f t="shared" si="2"/>
        <v>0.94785357942064097</v>
      </c>
    </row>
    <row r="60" spans="1:13" x14ac:dyDescent="0.25">
      <c r="A60" s="18">
        <v>52</v>
      </c>
      <c r="B60" s="19">
        <v>94706</v>
      </c>
      <c r="C60" s="19">
        <v>450</v>
      </c>
      <c r="D60" s="20">
        <v>29.836400000000001</v>
      </c>
      <c r="E60" s="19">
        <v>97204</v>
      </c>
      <c r="F60" s="19">
        <v>232</v>
      </c>
      <c r="G60" s="20">
        <v>34.835799999999999</v>
      </c>
      <c r="H60" s="19">
        <v>95925</v>
      </c>
      <c r="I60" s="19">
        <v>342</v>
      </c>
      <c r="J60" s="20">
        <v>32.308700000000002</v>
      </c>
      <c r="K60" s="16">
        <f t="shared" si="0"/>
        <v>52</v>
      </c>
      <c r="L60" s="21">
        <f t="shared" si="1"/>
        <v>0.8970286993432306</v>
      </c>
      <c r="M60" s="21">
        <f t="shared" si="2"/>
        <v>0.94994033167359371</v>
      </c>
    </row>
    <row r="61" spans="1:13" x14ac:dyDescent="0.25">
      <c r="A61" s="18">
        <v>53</v>
      </c>
      <c r="B61" s="19">
        <v>94280</v>
      </c>
      <c r="C61" s="19">
        <v>495</v>
      </c>
      <c r="D61" s="20">
        <v>28.969100000000001</v>
      </c>
      <c r="E61" s="19">
        <v>96979</v>
      </c>
      <c r="F61" s="19">
        <v>252</v>
      </c>
      <c r="G61" s="20">
        <v>33.915700000000001</v>
      </c>
      <c r="H61" s="19">
        <v>95597</v>
      </c>
      <c r="I61" s="19">
        <v>375</v>
      </c>
      <c r="J61" s="20">
        <v>31.417899999999999</v>
      </c>
      <c r="K61" s="16">
        <f t="shared" si="0"/>
        <v>53</v>
      </c>
      <c r="L61" s="21">
        <f t="shared" si="1"/>
        <v>0.90108188375053033</v>
      </c>
      <c r="M61" s="21">
        <f t="shared" si="2"/>
        <v>0.95214427865826623</v>
      </c>
    </row>
    <row r="62" spans="1:13" x14ac:dyDescent="0.25">
      <c r="A62" s="18">
        <v>54</v>
      </c>
      <c r="B62" s="19">
        <v>93814</v>
      </c>
      <c r="C62" s="19">
        <v>550</v>
      </c>
      <c r="D62" s="20">
        <v>28.110600000000002</v>
      </c>
      <c r="E62" s="19">
        <v>96734</v>
      </c>
      <c r="F62" s="19">
        <v>280</v>
      </c>
      <c r="G62" s="20">
        <v>33.0002</v>
      </c>
      <c r="H62" s="19">
        <v>95239</v>
      </c>
      <c r="I62" s="19">
        <v>416</v>
      </c>
      <c r="J62" s="20">
        <v>30.534199999999998</v>
      </c>
      <c r="K62" s="16">
        <f t="shared" si="0"/>
        <v>54</v>
      </c>
      <c r="L62" s="21">
        <f t="shared" si="1"/>
        <v>0.90555780587119195</v>
      </c>
      <c r="M62" s="21">
        <f t="shared" si="2"/>
        <v>0.95455579217234887</v>
      </c>
    </row>
    <row r="63" spans="1:13" x14ac:dyDescent="0.25">
      <c r="A63" s="18">
        <v>55</v>
      </c>
      <c r="B63" s="19">
        <v>93298</v>
      </c>
      <c r="C63" s="19">
        <v>600</v>
      </c>
      <c r="D63" s="20">
        <v>27.263300000000001</v>
      </c>
      <c r="E63" s="19">
        <v>96463</v>
      </c>
      <c r="F63" s="19">
        <v>304</v>
      </c>
      <c r="G63" s="20">
        <v>32.0914</v>
      </c>
      <c r="H63" s="19">
        <v>94843</v>
      </c>
      <c r="I63" s="19">
        <v>453</v>
      </c>
      <c r="J63" s="20">
        <v>29.659700000000001</v>
      </c>
      <c r="K63" s="16">
        <f t="shared" si="0"/>
        <v>55</v>
      </c>
      <c r="L63" s="21">
        <f t="shared" si="1"/>
        <v>0.91056614289695381</v>
      </c>
      <c r="M63" s="21">
        <f t="shared" si="2"/>
        <v>0.95723749002208103</v>
      </c>
    </row>
    <row r="64" spans="1:13" x14ac:dyDescent="0.25">
      <c r="A64" s="18">
        <v>56</v>
      </c>
      <c r="B64" s="19">
        <v>92738</v>
      </c>
      <c r="C64" s="19">
        <v>676</v>
      </c>
      <c r="D64" s="20">
        <v>26.424800000000001</v>
      </c>
      <c r="E64" s="19">
        <v>96171</v>
      </c>
      <c r="F64" s="19">
        <v>336</v>
      </c>
      <c r="G64" s="20">
        <v>31.1876</v>
      </c>
      <c r="H64" s="19">
        <v>94413</v>
      </c>
      <c r="I64" s="19">
        <v>507</v>
      </c>
      <c r="J64" s="20">
        <v>28.792300000000001</v>
      </c>
      <c r="K64" s="16">
        <f t="shared" si="0"/>
        <v>56</v>
      </c>
      <c r="L64" s="21">
        <f t="shared" si="1"/>
        <v>0.91606461213310619</v>
      </c>
      <c r="M64" s="21">
        <f t="shared" si="2"/>
        <v>0.96014391032639779</v>
      </c>
    </row>
    <row r="65" spans="1:13" x14ac:dyDescent="0.25">
      <c r="A65" s="18">
        <v>57</v>
      </c>
      <c r="B65" s="19">
        <v>92111</v>
      </c>
      <c r="C65" s="19">
        <v>731</v>
      </c>
      <c r="D65" s="20">
        <v>25.601400000000002</v>
      </c>
      <c r="E65" s="19">
        <v>95848</v>
      </c>
      <c r="F65" s="19">
        <v>369</v>
      </c>
      <c r="G65" s="20">
        <v>30.290900000000001</v>
      </c>
      <c r="H65" s="19">
        <v>93934</v>
      </c>
      <c r="I65" s="19">
        <v>551</v>
      </c>
      <c r="J65" s="20">
        <v>27.936499999999999</v>
      </c>
      <c r="K65" s="16">
        <f t="shared" si="0"/>
        <v>57</v>
      </c>
      <c r="L65" s="21">
        <f t="shared" si="1"/>
        <v>0.92230026815472632</v>
      </c>
      <c r="M65" s="21">
        <f t="shared" si="2"/>
        <v>0.96337951756948503</v>
      </c>
    </row>
    <row r="66" spans="1:13" x14ac:dyDescent="0.25">
      <c r="A66" s="18">
        <v>58</v>
      </c>
      <c r="B66" s="19">
        <v>91437</v>
      </c>
      <c r="C66" s="19">
        <v>805</v>
      </c>
      <c r="D66" s="20">
        <v>24.786200000000001</v>
      </c>
      <c r="E66" s="19">
        <v>95494</v>
      </c>
      <c r="F66" s="19">
        <v>379</v>
      </c>
      <c r="G66" s="20">
        <v>29.401299999999999</v>
      </c>
      <c r="H66" s="19">
        <v>93417</v>
      </c>
      <c r="I66" s="19">
        <v>593</v>
      </c>
      <c r="J66" s="20">
        <v>27.0884</v>
      </c>
      <c r="K66" s="16">
        <f t="shared" si="0"/>
        <v>58</v>
      </c>
      <c r="L66" s="21">
        <f t="shared" si="1"/>
        <v>0.92909872371140789</v>
      </c>
      <c r="M66" s="21">
        <f t="shared" si="2"/>
        <v>0.96695080319182358</v>
      </c>
    </row>
    <row r="67" spans="1:13" x14ac:dyDescent="0.25">
      <c r="A67" s="18">
        <v>59</v>
      </c>
      <c r="B67" s="19">
        <v>90702</v>
      </c>
      <c r="C67" s="19">
        <v>875</v>
      </c>
      <c r="D67" s="20">
        <v>23.9832</v>
      </c>
      <c r="E67" s="19">
        <v>95132</v>
      </c>
      <c r="F67" s="19">
        <v>423</v>
      </c>
      <c r="G67" s="20">
        <v>28.511399999999998</v>
      </c>
      <c r="H67" s="19">
        <v>92864</v>
      </c>
      <c r="I67" s="19">
        <v>649</v>
      </c>
      <c r="J67" s="20">
        <v>26.2469</v>
      </c>
      <c r="K67" s="16">
        <f t="shared" si="0"/>
        <v>59</v>
      </c>
      <c r="L67" s="21">
        <f t="shared" si="1"/>
        <v>0.93662763775881452</v>
      </c>
      <c r="M67" s="21">
        <f t="shared" si="2"/>
        <v>0.97063028213429758</v>
      </c>
    </row>
    <row r="68" spans="1:13" x14ac:dyDescent="0.25">
      <c r="A68" s="18">
        <v>60</v>
      </c>
      <c r="B68" s="19">
        <v>89908</v>
      </c>
      <c r="C68" s="19">
        <v>954</v>
      </c>
      <c r="D68" s="20">
        <v>23.1905</v>
      </c>
      <c r="E68" s="19">
        <v>94729</v>
      </c>
      <c r="F68" s="19">
        <v>452</v>
      </c>
      <c r="G68" s="20">
        <v>27.630400000000002</v>
      </c>
      <c r="H68" s="19">
        <v>92261</v>
      </c>
      <c r="I68" s="19">
        <v>702</v>
      </c>
      <c r="J68" s="20">
        <v>25.415199999999999</v>
      </c>
      <c r="K68" s="16">
        <f t="shared" si="0"/>
        <v>60</v>
      </c>
      <c r="L68" s="21">
        <f t="shared" si="1"/>
        <v>0.94489923032433154</v>
      </c>
      <c r="M68" s="21">
        <f t="shared" si="2"/>
        <v>0.97475957732056706</v>
      </c>
    </row>
    <row r="69" spans="1:13" x14ac:dyDescent="0.25">
      <c r="A69" s="18">
        <v>61</v>
      </c>
      <c r="B69" s="19">
        <v>89050</v>
      </c>
      <c r="C69" s="19">
        <v>1054</v>
      </c>
      <c r="D69" s="20">
        <v>22.409199999999998</v>
      </c>
      <c r="E69" s="19">
        <v>94301</v>
      </c>
      <c r="F69" s="19">
        <v>478</v>
      </c>
      <c r="G69" s="20">
        <v>26.753499999999999</v>
      </c>
      <c r="H69" s="19">
        <v>91613</v>
      </c>
      <c r="I69" s="19">
        <v>764</v>
      </c>
      <c r="J69" s="20">
        <v>24.5914</v>
      </c>
      <c r="K69" s="16">
        <f t="shared" si="0"/>
        <v>61</v>
      </c>
      <c r="L69" s="21">
        <f t="shared" si="1"/>
        <v>0.95400336889387982</v>
      </c>
      <c r="M69" s="21">
        <f t="shared" si="2"/>
        <v>0.97918367779769033</v>
      </c>
    </row>
    <row r="70" spans="1:13" x14ac:dyDescent="0.25">
      <c r="A70" s="18">
        <v>62</v>
      </c>
      <c r="B70" s="19">
        <v>88112</v>
      </c>
      <c r="C70" s="19">
        <v>1145</v>
      </c>
      <c r="D70" s="20">
        <v>21.642399999999999</v>
      </c>
      <c r="E70" s="19">
        <v>93851</v>
      </c>
      <c r="F70" s="19">
        <v>506</v>
      </c>
      <c r="G70" s="20">
        <v>25.8795</v>
      </c>
      <c r="H70" s="19">
        <v>90912</v>
      </c>
      <c r="I70" s="19">
        <v>823</v>
      </c>
      <c r="J70" s="20">
        <v>23.777000000000001</v>
      </c>
      <c r="K70" s="16">
        <f t="shared" si="0"/>
        <v>62</v>
      </c>
      <c r="L70" s="21">
        <f t="shared" si="1"/>
        <v>0.9641592518612675</v>
      </c>
      <c r="M70" s="21">
        <f t="shared" si="2"/>
        <v>0.98387870134575017</v>
      </c>
    </row>
    <row r="71" spans="1:13" x14ac:dyDescent="0.25">
      <c r="A71" s="18">
        <v>63</v>
      </c>
      <c r="B71" s="19">
        <v>87103</v>
      </c>
      <c r="C71" s="19">
        <v>1216</v>
      </c>
      <c r="D71" s="20">
        <v>20.8872</v>
      </c>
      <c r="E71" s="19">
        <v>93376</v>
      </c>
      <c r="F71" s="19">
        <v>537</v>
      </c>
      <c r="G71" s="20">
        <v>25.008700000000001</v>
      </c>
      <c r="H71" s="19">
        <v>90164</v>
      </c>
      <c r="I71" s="19">
        <v>873</v>
      </c>
      <c r="J71" s="20">
        <v>22.970099999999999</v>
      </c>
      <c r="K71" s="16">
        <f t="shared" si="0"/>
        <v>63</v>
      </c>
      <c r="L71" s="21">
        <f t="shared" si="1"/>
        <v>0.97532805988312687</v>
      </c>
      <c r="M71" s="21">
        <f t="shared" si="2"/>
        <v>0.98888365318711446</v>
      </c>
    </row>
    <row r="72" spans="1:13" x14ac:dyDescent="0.25">
      <c r="A72" s="18">
        <v>64</v>
      </c>
      <c r="B72" s="19">
        <v>86044</v>
      </c>
      <c r="C72" s="19">
        <v>1266</v>
      </c>
      <c r="D72" s="20">
        <v>20.138200000000001</v>
      </c>
      <c r="E72" s="19">
        <v>92874</v>
      </c>
      <c r="F72" s="19">
        <v>577</v>
      </c>
      <c r="G72" s="20">
        <v>24.141100000000002</v>
      </c>
      <c r="H72" s="19">
        <v>89377</v>
      </c>
      <c r="I72" s="19">
        <v>917</v>
      </c>
      <c r="J72" s="20">
        <v>22.167999999999999</v>
      </c>
      <c r="K72" s="16">
        <f>A72</f>
        <v>64</v>
      </c>
      <c r="L72" s="21">
        <f t="shared" si="1"/>
        <v>0.98733206266561291</v>
      </c>
      <c r="M72" s="21">
        <f t="shared" si="2"/>
        <v>0.99422874001335138</v>
      </c>
    </row>
    <row r="73" spans="1:13" x14ac:dyDescent="0.25">
      <c r="A73" s="18">
        <v>65</v>
      </c>
      <c r="B73" s="19">
        <v>84954</v>
      </c>
      <c r="C73" s="19">
        <v>1336</v>
      </c>
      <c r="D73" s="20">
        <v>19.3901</v>
      </c>
      <c r="E73" s="19">
        <v>92338</v>
      </c>
      <c r="F73" s="19">
        <v>625</v>
      </c>
      <c r="G73" s="20">
        <v>23.278199999999998</v>
      </c>
      <c r="H73" s="19">
        <v>88558</v>
      </c>
      <c r="I73" s="19">
        <v>974</v>
      </c>
      <c r="J73" s="20">
        <v>21.368500000000001</v>
      </c>
      <c r="K73" s="158">
        <f t="shared" ref="K73:K82" si="3">A73</f>
        <v>65</v>
      </c>
      <c r="L73" s="22">
        <f t="shared" ref="L73:L82" si="4">B$73/B73</f>
        <v>1</v>
      </c>
      <c r="M73" s="22">
        <f t="shared" ref="M73:M82" si="5">E$73/E73</f>
        <v>1</v>
      </c>
    </row>
    <row r="74" spans="1:13" x14ac:dyDescent="0.25">
      <c r="A74" s="18">
        <v>66</v>
      </c>
      <c r="B74" s="19">
        <v>83819</v>
      </c>
      <c r="C74" s="19">
        <v>1432</v>
      </c>
      <c r="D74" s="20">
        <v>18.645900000000001</v>
      </c>
      <c r="E74" s="19">
        <v>91761</v>
      </c>
      <c r="F74" s="19">
        <v>662</v>
      </c>
      <c r="G74" s="20">
        <v>22.421500000000002</v>
      </c>
      <c r="H74" s="19">
        <v>87695</v>
      </c>
      <c r="I74" s="19">
        <v>1039</v>
      </c>
      <c r="J74" s="20">
        <v>20.573799999999999</v>
      </c>
    </row>
    <row r="75" spans="1:13" x14ac:dyDescent="0.25">
      <c r="A75" s="18">
        <v>67</v>
      </c>
      <c r="B75" s="19">
        <v>82619</v>
      </c>
      <c r="C75" s="19">
        <v>1501</v>
      </c>
      <c r="D75" s="20">
        <v>17.909600000000001</v>
      </c>
      <c r="E75" s="19">
        <v>91153</v>
      </c>
      <c r="F75" s="19">
        <v>696</v>
      </c>
      <c r="G75" s="20">
        <v>21.567699999999999</v>
      </c>
      <c r="H75" s="19">
        <v>86784</v>
      </c>
      <c r="I75" s="19">
        <v>1089</v>
      </c>
      <c r="J75" s="20">
        <v>19.784600000000001</v>
      </c>
    </row>
    <row r="76" spans="1:13" x14ac:dyDescent="0.25">
      <c r="A76" s="18">
        <v>68</v>
      </c>
      <c r="B76" s="19">
        <v>81379</v>
      </c>
      <c r="C76" s="19">
        <v>1617</v>
      </c>
      <c r="D76" s="20">
        <v>17.174900000000001</v>
      </c>
      <c r="E76" s="19">
        <v>90519</v>
      </c>
      <c r="F76" s="19">
        <v>750</v>
      </c>
      <c r="G76" s="20">
        <v>20.715399999999999</v>
      </c>
      <c r="H76" s="19">
        <v>85839</v>
      </c>
      <c r="I76" s="19">
        <v>1171</v>
      </c>
      <c r="J76" s="20">
        <v>18.9968</v>
      </c>
    </row>
    <row r="77" spans="1:13" x14ac:dyDescent="0.25">
      <c r="A77" s="18">
        <v>69</v>
      </c>
      <c r="B77" s="19">
        <v>80063</v>
      </c>
      <c r="C77" s="19">
        <v>1736</v>
      </c>
      <c r="D77" s="20">
        <v>16.449000000000002</v>
      </c>
      <c r="E77" s="19">
        <v>89840</v>
      </c>
      <c r="F77" s="19">
        <v>801</v>
      </c>
      <c r="G77" s="20">
        <v>19.868099999999998</v>
      </c>
      <c r="H77" s="19">
        <v>84834</v>
      </c>
      <c r="I77" s="19">
        <v>1253</v>
      </c>
      <c r="J77" s="20">
        <v>18.216000000000001</v>
      </c>
    </row>
    <row r="78" spans="1:13" x14ac:dyDescent="0.25">
      <c r="A78" s="18">
        <v>70</v>
      </c>
      <c r="B78" s="19">
        <v>78673</v>
      </c>
      <c r="C78" s="19">
        <v>1859</v>
      </c>
      <c r="D78" s="20">
        <v>15.730700000000001</v>
      </c>
      <c r="E78" s="19">
        <v>89120</v>
      </c>
      <c r="F78" s="19">
        <v>888</v>
      </c>
      <c r="G78" s="20">
        <v>19.0246</v>
      </c>
      <c r="H78" s="19">
        <v>83771</v>
      </c>
      <c r="I78" s="19">
        <v>1355</v>
      </c>
      <c r="J78" s="20">
        <v>17.4407</v>
      </c>
    </row>
    <row r="79" spans="1:13" x14ac:dyDescent="0.25">
      <c r="A79" s="18">
        <v>71</v>
      </c>
      <c r="B79" s="19">
        <v>77210</v>
      </c>
      <c r="C79" s="19">
        <v>1979</v>
      </c>
      <c r="D79" s="20">
        <v>15.0192</v>
      </c>
      <c r="E79" s="19">
        <v>88329</v>
      </c>
      <c r="F79" s="19">
        <v>975</v>
      </c>
      <c r="G79" s="20">
        <v>18.1905</v>
      </c>
      <c r="H79" s="19">
        <v>82636</v>
      </c>
      <c r="I79" s="19">
        <v>1455</v>
      </c>
      <c r="J79" s="20">
        <v>16.673400000000001</v>
      </c>
    </row>
    <row r="80" spans="1:13" x14ac:dyDescent="0.25">
      <c r="A80" s="18">
        <v>72</v>
      </c>
      <c r="B80" s="19">
        <v>75682</v>
      </c>
      <c r="C80" s="19">
        <v>2132</v>
      </c>
      <c r="D80" s="20">
        <v>14.3124</v>
      </c>
      <c r="E80" s="19">
        <v>87467</v>
      </c>
      <c r="F80" s="19">
        <v>1075</v>
      </c>
      <c r="G80" s="20">
        <v>17.364699999999999</v>
      </c>
      <c r="H80" s="19">
        <v>81433</v>
      </c>
      <c r="I80" s="19">
        <v>1578</v>
      </c>
      <c r="J80" s="20">
        <v>15.9123</v>
      </c>
    </row>
    <row r="81" spans="1:10" x14ac:dyDescent="0.25">
      <c r="A81" s="18">
        <v>73</v>
      </c>
      <c r="B81" s="19">
        <v>74069</v>
      </c>
      <c r="C81" s="19">
        <v>2304</v>
      </c>
      <c r="D81" s="20">
        <v>13.613200000000001</v>
      </c>
      <c r="E81" s="19">
        <v>86527</v>
      </c>
      <c r="F81" s="19">
        <v>1156</v>
      </c>
      <c r="G81" s="20">
        <v>16.547999999999998</v>
      </c>
      <c r="H81" s="19">
        <v>80148</v>
      </c>
      <c r="I81" s="19">
        <v>1699</v>
      </c>
      <c r="J81" s="20">
        <v>15.1594</v>
      </c>
    </row>
    <row r="82" spans="1:10" x14ac:dyDescent="0.25">
      <c r="A82" s="18">
        <v>74</v>
      </c>
      <c r="B82" s="19">
        <v>72362</v>
      </c>
      <c r="C82" s="19">
        <v>2503</v>
      </c>
      <c r="D82" s="20">
        <v>12.922499999999999</v>
      </c>
      <c r="E82" s="19">
        <v>85526</v>
      </c>
      <c r="F82" s="19">
        <v>1281</v>
      </c>
      <c r="G82" s="20">
        <v>15.735799999999999</v>
      </c>
      <c r="H82" s="19">
        <v>78786</v>
      </c>
      <c r="I82" s="19">
        <v>1856</v>
      </c>
      <c r="J82" s="20">
        <v>14.412800000000001</v>
      </c>
    </row>
    <row r="83" spans="1:10" x14ac:dyDescent="0.25">
      <c r="A83" s="18">
        <v>75</v>
      </c>
      <c r="B83" s="19">
        <v>70551</v>
      </c>
      <c r="C83" s="19">
        <v>2730</v>
      </c>
      <c r="D83" s="20">
        <v>12.241400000000001</v>
      </c>
      <c r="E83" s="19">
        <v>84430</v>
      </c>
      <c r="F83" s="19">
        <v>1399</v>
      </c>
      <c r="G83" s="20">
        <v>14.9335</v>
      </c>
      <c r="H83" s="19">
        <v>77324</v>
      </c>
      <c r="I83" s="19">
        <v>2021</v>
      </c>
      <c r="J83" s="20">
        <v>13.6759</v>
      </c>
    </row>
    <row r="84" spans="1:10" x14ac:dyDescent="0.25">
      <c r="A84" s="18">
        <v>76</v>
      </c>
      <c r="B84" s="19">
        <v>68625</v>
      </c>
      <c r="C84" s="19">
        <v>2961</v>
      </c>
      <c r="D84" s="20">
        <v>11.571</v>
      </c>
      <c r="E84" s="19">
        <v>83250</v>
      </c>
      <c r="F84" s="19">
        <v>1575</v>
      </c>
      <c r="G84" s="20">
        <v>14.138299999999999</v>
      </c>
      <c r="H84" s="19">
        <v>75762</v>
      </c>
      <c r="I84" s="19">
        <v>2218</v>
      </c>
      <c r="J84" s="20">
        <v>12.9476</v>
      </c>
    </row>
    <row r="85" spans="1:10" x14ac:dyDescent="0.25">
      <c r="A85" s="18">
        <v>77</v>
      </c>
      <c r="B85" s="19">
        <v>66593</v>
      </c>
      <c r="C85" s="19">
        <v>3272</v>
      </c>
      <c r="D85" s="20">
        <v>10.908799999999999</v>
      </c>
      <c r="E85" s="19">
        <v>81938</v>
      </c>
      <c r="F85" s="19">
        <v>1773</v>
      </c>
      <c r="G85" s="20">
        <v>13.3566</v>
      </c>
      <c r="H85" s="19">
        <v>74081</v>
      </c>
      <c r="I85" s="19">
        <v>2463</v>
      </c>
      <c r="J85" s="20">
        <v>12.23</v>
      </c>
    </row>
    <row r="86" spans="1:10" x14ac:dyDescent="0.25">
      <c r="A86" s="18">
        <v>78</v>
      </c>
      <c r="B86" s="19">
        <v>64414</v>
      </c>
      <c r="C86" s="19">
        <v>3694</v>
      </c>
      <c r="D86" s="20">
        <v>10.260899999999999</v>
      </c>
      <c r="E86" s="19">
        <v>80485</v>
      </c>
      <c r="F86" s="19">
        <v>2022</v>
      </c>
      <c r="G86" s="20">
        <v>12.5886</v>
      </c>
      <c r="H86" s="19">
        <v>72257</v>
      </c>
      <c r="I86" s="19">
        <v>2785</v>
      </c>
      <c r="J86" s="20">
        <v>11.526199999999999</v>
      </c>
    </row>
    <row r="87" spans="1:10" x14ac:dyDescent="0.25">
      <c r="A87" s="18">
        <v>79</v>
      </c>
      <c r="B87" s="19">
        <v>62034</v>
      </c>
      <c r="C87" s="19">
        <v>4076</v>
      </c>
      <c r="D87" s="20">
        <v>9.6353000000000009</v>
      </c>
      <c r="E87" s="19">
        <v>78858</v>
      </c>
      <c r="F87" s="19">
        <v>2281</v>
      </c>
      <c r="G87" s="20">
        <v>11.838100000000001</v>
      </c>
      <c r="H87" s="19">
        <v>70244</v>
      </c>
      <c r="I87" s="19">
        <v>3093</v>
      </c>
      <c r="J87" s="20">
        <v>10.8421</v>
      </c>
    </row>
    <row r="88" spans="1:10" x14ac:dyDescent="0.25">
      <c r="A88" s="18">
        <v>80</v>
      </c>
      <c r="B88" s="19">
        <v>59506</v>
      </c>
      <c r="C88" s="19">
        <v>4486</v>
      </c>
      <c r="D88" s="20">
        <v>9.0235000000000003</v>
      </c>
      <c r="E88" s="19">
        <v>77059</v>
      </c>
      <c r="F88" s="19">
        <v>2621</v>
      </c>
      <c r="G88" s="20">
        <v>11.1028</v>
      </c>
      <c r="H88" s="19">
        <v>68072</v>
      </c>
      <c r="I88" s="19">
        <v>3456</v>
      </c>
      <c r="J88" s="20">
        <v>10.1722</v>
      </c>
    </row>
    <row r="89" spans="1:10" x14ac:dyDescent="0.25">
      <c r="A89" s="18">
        <v>81</v>
      </c>
      <c r="B89" s="19">
        <v>56836</v>
      </c>
      <c r="C89" s="19">
        <v>5103</v>
      </c>
      <c r="D89" s="20">
        <v>8.4238</v>
      </c>
      <c r="E89" s="19">
        <v>75039</v>
      </c>
      <c r="F89" s="19">
        <v>3025</v>
      </c>
      <c r="G89" s="20">
        <v>10.3881</v>
      </c>
      <c r="H89" s="19">
        <v>65720</v>
      </c>
      <c r="I89" s="19">
        <v>3945</v>
      </c>
      <c r="J89" s="20">
        <v>9.5183</v>
      </c>
    </row>
    <row r="90" spans="1:10" x14ac:dyDescent="0.25">
      <c r="A90" s="18">
        <v>82</v>
      </c>
      <c r="B90" s="19">
        <v>53936</v>
      </c>
      <c r="C90" s="19">
        <v>5755</v>
      </c>
      <c r="D90" s="20">
        <v>7.8498999999999999</v>
      </c>
      <c r="E90" s="19">
        <v>72769</v>
      </c>
      <c r="F90" s="19">
        <v>3439</v>
      </c>
      <c r="G90" s="20">
        <v>9.6966000000000001</v>
      </c>
      <c r="H90" s="19">
        <v>63127</v>
      </c>
      <c r="I90" s="19">
        <v>4453</v>
      </c>
      <c r="J90" s="20">
        <v>8.8887</v>
      </c>
    </row>
    <row r="91" spans="1:10" x14ac:dyDescent="0.25">
      <c r="A91" s="18">
        <v>83</v>
      </c>
      <c r="B91" s="19">
        <v>50832</v>
      </c>
      <c r="C91" s="19">
        <v>6536</v>
      </c>
      <c r="D91" s="20">
        <v>7.2987000000000002</v>
      </c>
      <c r="E91" s="19">
        <v>70266</v>
      </c>
      <c r="F91" s="19">
        <v>3992</v>
      </c>
      <c r="G91" s="20">
        <v>9.0242000000000004</v>
      </c>
      <c r="H91" s="19">
        <v>60316</v>
      </c>
      <c r="I91" s="19">
        <v>5090</v>
      </c>
      <c r="J91" s="20">
        <v>8.2797000000000001</v>
      </c>
    </row>
    <row r="92" spans="1:10" x14ac:dyDescent="0.25">
      <c r="A92" s="18">
        <v>84</v>
      </c>
      <c r="B92" s="19">
        <v>47510</v>
      </c>
      <c r="C92" s="19">
        <v>7416</v>
      </c>
      <c r="D92" s="20">
        <v>6.7742000000000004</v>
      </c>
      <c r="E92" s="19">
        <v>67462</v>
      </c>
      <c r="F92" s="19">
        <v>4629</v>
      </c>
      <c r="G92" s="20">
        <v>8.3786000000000005</v>
      </c>
      <c r="H92" s="19">
        <v>57246</v>
      </c>
      <c r="I92" s="19">
        <v>5813</v>
      </c>
      <c r="J92" s="20">
        <v>7.6969000000000003</v>
      </c>
    </row>
    <row r="93" spans="1:10" x14ac:dyDescent="0.25">
      <c r="A93" s="18">
        <v>85</v>
      </c>
      <c r="B93" s="19">
        <v>43986</v>
      </c>
      <c r="C93" s="19">
        <v>8363</v>
      </c>
      <c r="D93" s="20">
        <v>6.2766999999999999</v>
      </c>
      <c r="E93" s="19">
        <v>64339</v>
      </c>
      <c r="F93" s="19">
        <v>5372</v>
      </c>
      <c r="G93" s="20">
        <v>7.7610000000000001</v>
      </c>
      <c r="H93" s="19">
        <v>53918</v>
      </c>
      <c r="I93" s="19">
        <v>6622</v>
      </c>
      <c r="J93" s="20">
        <v>7.141</v>
      </c>
    </row>
    <row r="94" spans="1:10" x14ac:dyDescent="0.25">
      <c r="A94" s="18">
        <v>86</v>
      </c>
      <c r="B94" s="19">
        <v>40307</v>
      </c>
      <c r="C94" s="19">
        <v>9468</v>
      </c>
      <c r="D94" s="20">
        <v>5.8040000000000003</v>
      </c>
      <c r="E94" s="19">
        <v>60882</v>
      </c>
      <c r="F94" s="19">
        <v>6279</v>
      </c>
      <c r="G94" s="20">
        <v>7.1731999999999996</v>
      </c>
      <c r="H94" s="19">
        <v>50348</v>
      </c>
      <c r="I94" s="19">
        <v>7586</v>
      </c>
      <c r="J94" s="20">
        <v>6.6120000000000001</v>
      </c>
    </row>
    <row r="95" spans="1:10" x14ac:dyDescent="0.25">
      <c r="A95" s="18">
        <v>87</v>
      </c>
      <c r="B95" s="19">
        <v>36491</v>
      </c>
      <c r="C95" s="19">
        <v>10876</v>
      </c>
      <c r="D95" s="20">
        <v>5.3586</v>
      </c>
      <c r="E95" s="19">
        <v>57060</v>
      </c>
      <c r="F95" s="19">
        <v>7290</v>
      </c>
      <c r="G95" s="20">
        <v>6.6203000000000003</v>
      </c>
      <c r="H95" s="19">
        <v>46529</v>
      </c>
      <c r="I95" s="19">
        <v>8730</v>
      </c>
      <c r="J95" s="20">
        <v>6.1136999999999997</v>
      </c>
    </row>
    <row r="96" spans="1:10" x14ac:dyDescent="0.25">
      <c r="A96" s="18">
        <v>88</v>
      </c>
      <c r="B96" s="19">
        <v>32523</v>
      </c>
      <c r="C96" s="19">
        <v>12250</v>
      </c>
      <c r="D96" s="20">
        <v>4.9515000000000002</v>
      </c>
      <c r="E96" s="19">
        <v>52900</v>
      </c>
      <c r="F96" s="19">
        <v>8351</v>
      </c>
      <c r="G96" s="20">
        <v>6.1016000000000004</v>
      </c>
      <c r="H96" s="19">
        <v>42467</v>
      </c>
      <c r="I96" s="19">
        <v>9879</v>
      </c>
      <c r="J96" s="20">
        <v>5.6505999999999998</v>
      </c>
    </row>
    <row r="97" spans="1:10" x14ac:dyDescent="0.25">
      <c r="A97" s="18">
        <v>89</v>
      </c>
      <c r="B97" s="19">
        <v>28539</v>
      </c>
      <c r="C97" s="19">
        <v>13893</v>
      </c>
      <c r="D97" s="20">
        <v>4.5730000000000004</v>
      </c>
      <c r="E97" s="19">
        <v>48482</v>
      </c>
      <c r="F97" s="19">
        <v>9719</v>
      </c>
      <c r="G97" s="20">
        <v>5.6119000000000003</v>
      </c>
      <c r="H97" s="19">
        <v>38271</v>
      </c>
      <c r="I97" s="19">
        <v>11313</v>
      </c>
      <c r="J97" s="20">
        <v>5.2153</v>
      </c>
    </row>
    <row r="98" spans="1:10" x14ac:dyDescent="0.25">
      <c r="A98" s="18">
        <v>90</v>
      </c>
      <c r="B98" s="19">
        <v>24574</v>
      </c>
      <c r="C98" s="19">
        <v>15471</v>
      </c>
      <c r="D98" s="20">
        <v>4.2301000000000002</v>
      </c>
      <c r="E98" s="19">
        <v>43770</v>
      </c>
      <c r="F98" s="19">
        <v>11201</v>
      </c>
      <c r="G98" s="20">
        <v>5.1623000000000001</v>
      </c>
      <c r="H98" s="19">
        <v>33942</v>
      </c>
      <c r="I98" s="19">
        <v>12784</v>
      </c>
      <c r="J98" s="20">
        <v>4.8167</v>
      </c>
    </row>
    <row r="99" spans="1:10" x14ac:dyDescent="0.25">
      <c r="A99" s="18">
        <v>91</v>
      </c>
      <c r="B99" s="19">
        <v>20772</v>
      </c>
      <c r="C99" s="19">
        <v>17042</v>
      </c>
      <c r="D99" s="20">
        <v>3.9127999999999998</v>
      </c>
      <c r="E99" s="19">
        <v>38868</v>
      </c>
      <c r="F99" s="19">
        <v>12680</v>
      </c>
      <c r="G99" s="20">
        <v>4.7503000000000002</v>
      </c>
      <c r="H99" s="19">
        <v>29603</v>
      </c>
      <c r="I99" s="19">
        <v>14247</v>
      </c>
      <c r="J99" s="20">
        <v>4.4493999999999998</v>
      </c>
    </row>
    <row r="100" spans="1:10" x14ac:dyDescent="0.25">
      <c r="A100" s="18">
        <v>92</v>
      </c>
      <c r="B100" s="19">
        <v>17232</v>
      </c>
      <c r="C100" s="19">
        <v>19164</v>
      </c>
      <c r="D100" s="20">
        <v>3.6139000000000001</v>
      </c>
      <c r="E100" s="19">
        <v>33940</v>
      </c>
      <c r="F100" s="19">
        <v>14278</v>
      </c>
      <c r="G100" s="20">
        <v>4.3674999999999997</v>
      </c>
      <c r="H100" s="19">
        <v>25385</v>
      </c>
      <c r="I100" s="19">
        <v>15976</v>
      </c>
      <c r="J100" s="20">
        <v>4.1055999999999999</v>
      </c>
    </row>
    <row r="101" spans="1:10" x14ac:dyDescent="0.25">
      <c r="A101" s="18">
        <v>93</v>
      </c>
      <c r="B101" s="19">
        <v>13930</v>
      </c>
      <c r="C101" s="19">
        <v>21151</v>
      </c>
      <c r="D101" s="20">
        <v>3.3521000000000001</v>
      </c>
      <c r="E101" s="19">
        <v>29094</v>
      </c>
      <c r="F101" s="19">
        <v>16148</v>
      </c>
      <c r="G101" s="20">
        <v>4.0117000000000003</v>
      </c>
      <c r="H101" s="19">
        <v>21330</v>
      </c>
      <c r="I101" s="19">
        <v>17821</v>
      </c>
      <c r="J101" s="20">
        <v>3.7911999999999999</v>
      </c>
    </row>
    <row r="102" spans="1:10" x14ac:dyDescent="0.25">
      <c r="A102" s="18">
        <v>94</v>
      </c>
      <c r="B102" s="19">
        <v>10983</v>
      </c>
      <c r="C102" s="19">
        <v>23417</v>
      </c>
      <c r="D102" s="20">
        <v>3.1172</v>
      </c>
      <c r="E102" s="19">
        <v>24396</v>
      </c>
      <c r="F102" s="19">
        <v>18307</v>
      </c>
      <c r="G102" s="20">
        <v>3.6880000000000002</v>
      </c>
      <c r="H102" s="19">
        <v>17529</v>
      </c>
      <c r="I102" s="19">
        <v>19946</v>
      </c>
      <c r="J102" s="20">
        <v>3.5049000000000001</v>
      </c>
    </row>
    <row r="103" spans="1:10" x14ac:dyDescent="0.25">
      <c r="A103" s="18">
        <v>95</v>
      </c>
      <c r="B103" s="19">
        <v>8411</v>
      </c>
      <c r="C103" s="19">
        <v>25580</v>
      </c>
      <c r="D103" s="20">
        <v>2.9175</v>
      </c>
      <c r="E103" s="19">
        <v>19929</v>
      </c>
      <c r="F103" s="19">
        <v>20255</v>
      </c>
      <c r="G103" s="20">
        <v>3.4024000000000001</v>
      </c>
      <c r="H103" s="19">
        <v>14032</v>
      </c>
      <c r="I103" s="19">
        <v>21889</v>
      </c>
      <c r="J103" s="20">
        <v>3.2536</v>
      </c>
    </row>
    <row r="104" spans="1:10" x14ac:dyDescent="0.25">
      <c r="A104" s="18">
        <v>96</v>
      </c>
      <c r="B104" s="19">
        <v>6260</v>
      </c>
      <c r="C104" s="19">
        <v>28015</v>
      </c>
      <c r="D104" s="20">
        <v>2.7484000000000002</v>
      </c>
      <c r="E104" s="19">
        <v>15893</v>
      </c>
      <c r="F104" s="19">
        <v>22660</v>
      </c>
      <c r="G104" s="20">
        <v>3.1396000000000002</v>
      </c>
      <c r="H104" s="19">
        <v>10961</v>
      </c>
      <c r="I104" s="19">
        <v>24226</v>
      </c>
      <c r="J104" s="20">
        <v>3.0251999999999999</v>
      </c>
    </row>
    <row r="105" spans="1:10" x14ac:dyDescent="0.25">
      <c r="A105" s="18">
        <v>97</v>
      </c>
      <c r="B105" s="19">
        <v>4506</v>
      </c>
      <c r="C105" s="19">
        <v>30305</v>
      </c>
      <c r="D105" s="20">
        <v>2.6234999999999999</v>
      </c>
      <c r="E105" s="19">
        <v>12291</v>
      </c>
      <c r="F105" s="19">
        <v>24734</v>
      </c>
      <c r="G105" s="20">
        <v>2.9129999999999998</v>
      </c>
      <c r="H105" s="19">
        <v>8305</v>
      </c>
      <c r="I105" s="19">
        <v>26282</v>
      </c>
      <c r="J105" s="20">
        <v>2.8325999999999998</v>
      </c>
    </row>
    <row r="106" spans="1:10" x14ac:dyDescent="0.25">
      <c r="A106" s="18">
        <v>98</v>
      </c>
      <c r="B106" s="19">
        <v>3141</v>
      </c>
      <c r="C106" s="19">
        <v>32422</v>
      </c>
      <c r="D106" s="20">
        <v>2.5468000000000002</v>
      </c>
      <c r="E106" s="19">
        <v>9251</v>
      </c>
      <c r="F106" s="19">
        <v>27091</v>
      </c>
      <c r="G106" s="20">
        <v>2.706</v>
      </c>
      <c r="H106" s="19">
        <v>6123</v>
      </c>
      <c r="I106" s="19">
        <v>28491</v>
      </c>
      <c r="J106" s="20">
        <v>2.6642000000000001</v>
      </c>
    </row>
    <row r="107" spans="1:10" x14ac:dyDescent="0.25">
      <c r="A107" s="18">
        <v>99</v>
      </c>
      <c r="B107" s="19">
        <v>2122</v>
      </c>
      <c r="C107" s="19">
        <v>34763</v>
      </c>
      <c r="D107" s="20">
        <v>2.5287000000000002</v>
      </c>
      <c r="E107" s="19">
        <v>6745</v>
      </c>
      <c r="F107" s="19">
        <v>28700</v>
      </c>
      <c r="G107" s="20">
        <v>2.5257000000000001</v>
      </c>
      <c r="H107" s="19">
        <v>4378</v>
      </c>
      <c r="I107" s="19">
        <v>30205</v>
      </c>
      <c r="J107" s="20">
        <v>2.5265</v>
      </c>
    </row>
    <row r="108" spans="1:10" x14ac:dyDescent="0.25">
      <c r="A108" s="18">
        <v>100</v>
      </c>
      <c r="B108" s="19">
        <v>1385</v>
      </c>
      <c r="C108" s="19">
        <v>35345</v>
      </c>
      <c r="D108" s="20">
        <v>2.6097999999999999</v>
      </c>
      <c r="E108" s="19">
        <v>4809</v>
      </c>
      <c r="F108" s="19">
        <v>31904</v>
      </c>
      <c r="G108" s="20">
        <v>2.3411</v>
      </c>
      <c r="H108" s="19">
        <v>3056</v>
      </c>
      <c r="I108" s="19">
        <v>32703</v>
      </c>
      <c r="J108" s="20">
        <v>2.4035000000000002</v>
      </c>
    </row>
    <row r="109" spans="1:10" x14ac:dyDescent="0.25">
      <c r="A109" s="18">
        <v>101</v>
      </c>
      <c r="B109" s="19">
        <v>895</v>
      </c>
      <c r="C109" s="19">
        <v>35306</v>
      </c>
      <c r="D109" s="20">
        <v>2.7631000000000001</v>
      </c>
      <c r="E109" s="19">
        <v>3275</v>
      </c>
      <c r="F109" s="19">
        <v>34442</v>
      </c>
      <c r="G109" s="20">
        <v>2.2037</v>
      </c>
      <c r="H109" s="19">
        <v>2056</v>
      </c>
      <c r="I109" s="19">
        <v>34634</v>
      </c>
      <c r="J109" s="20">
        <v>2.3283999999999998</v>
      </c>
    </row>
    <row r="110" spans="1:10" x14ac:dyDescent="0.25">
      <c r="A110" s="18">
        <v>102</v>
      </c>
      <c r="B110" s="19">
        <v>579</v>
      </c>
      <c r="C110" s="19">
        <v>35580</v>
      </c>
      <c r="D110" s="20">
        <v>2.9982000000000002</v>
      </c>
      <c r="E110" s="19">
        <v>2147</v>
      </c>
      <c r="F110" s="19">
        <v>36984</v>
      </c>
      <c r="G110" s="20">
        <v>2.0988000000000002</v>
      </c>
      <c r="H110" s="19">
        <v>1344</v>
      </c>
      <c r="I110" s="19">
        <v>36674</v>
      </c>
      <c r="J110" s="20">
        <v>2.2972000000000001</v>
      </c>
    </row>
    <row r="111" spans="1:10" x14ac:dyDescent="0.25">
      <c r="A111" s="18">
        <v>103</v>
      </c>
      <c r="B111" s="19">
        <v>373</v>
      </c>
      <c r="C111" s="19">
        <v>33123</v>
      </c>
      <c r="D111" s="20">
        <v>3.3778999999999999</v>
      </c>
      <c r="E111" s="19">
        <v>1353</v>
      </c>
      <c r="F111" s="19">
        <v>39736</v>
      </c>
      <c r="G111" s="20">
        <v>2.0371000000000001</v>
      </c>
      <c r="H111" s="19">
        <v>851</v>
      </c>
      <c r="I111" s="19">
        <v>38252</v>
      </c>
      <c r="J111" s="20">
        <v>2.3380000000000001</v>
      </c>
    </row>
    <row r="112" spans="1:10" x14ac:dyDescent="0.25">
      <c r="A112" s="23">
        <v>104</v>
      </c>
      <c r="B112" s="24">
        <v>250</v>
      </c>
      <c r="C112" s="24">
        <v>26519</v>
      </c>
      <c r="D112" s="25">
        <v>3.8033000000000001</v>
      </c>
      <c r="E112" s="24">
        <v>815</v>
      </c>
      <c r="F112" s="24">
        <v>40482</v>
      </c>
      <c r="G112" s="25">
        <v>2.0507</v>
      </c>
      <c r="H112" s="24">
        <v>526</v>
      </c>
      <c r="I112" s="24">
        <v>37088</v>
      </c>
      <c r="J112" s="25">
        <v>2.4765999999999999</v>
      </c>
    </row>
    <row r="113" spans="1:1" x14ac:dyDescent="0.25">
      <c r="A113" s="26" t="s">
        <v>16</v>
      </c>
    </row>
    <row r="114" spans="1:1" x14ac:dyDescent="0.25">
      <c r="A114" s="155" t="s">
        <v>88</v>
      </c>
    </row>
  </sheetData>
  <sheetProtection sheet="1" objects="1" scenarios="1" formatCells="0" formatColumns="0" formatRows="0"/>
  <mergeCells count="6">
    <mergeCell ref="L1:M5"/>
    <mergeCell ref="B6:D6"/>
    <mergeCell ref="E6:G6"/>
    <mergeCell ref="H6:J6"/>
    <mergeCell ref="L6:M6"/>
    <mergeCell ref="A1:J1"/>
  </mergeCells>
  <hyperlinks>
    <hyperlink ref="A113" r:id="rId1" xr:uid="{00000000-0004-0000-0200-000000000000}"/>
  </hyperlinks>
  <printOptions horizontalCentered="1"/>
  <pageMargins left="0.19685039370078741" right="0.19685039370078741" top="0.59055118110236227" bottom="0.19685039370078741" header="0.19685039370078741" footer="0"/>
  <pageSetup paperSize="9" scale="85" orientation="portrait" r:id="rId2"/>
  <headerFooter>
    <oddHeader>&amp;L&amp;F-&amp;A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Données</vt:lpstr>
      <vt:lpstr>Provision</vt:lpstr>
      <vt:lpstr>Table</vt:lpstr>
      <vt:lpstr>Données!Zone_d_impression</vt:lpstr>
      <vt:lpstr>Provision!Zone_d_impression</vt:lpstr>
      <vt:lpstr>Table!Zone_d_impression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Philippe Giami</cp:lastModifiedBy>
  <cp:lastPrinted>2017-03-01T12:58:55Z</cp:lastPrinted>
  <dcterms:created xsi:type="dcterms:W3CDTF">2015-02-13T12:04:17Z</dcterms:created>
  <dcterms:modified xsi:type="dcterms:W3CDTF">2021-01-29T08:56:25Z</dcterms:modified>
</cp:coreProperties>
</file>